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10935" firstSheet="3" activeTab="8"/>
  </bookViews>
  <sheets>
    <sheet name="PTO CRITICO 8" sheetId="1" r:id="rId1"/>
    <sheet name="PTO CRITICO 7" sheetId="2" r:id="rId2"/>
    <sheet name="PTO CRITICO 6" sheetId="3" r:id="rId3"/>
    <sheet name="PTO CRITICO 5" sheetId="4" r:id="rId4"/>
    <sheet name="PTO CRITICO 4" sheetId="5" r:id="rId5"/>
    <sheet name="PTO CRITICO 3" sheetId="6" r:id="rId6"/>
    <sheet name="PTO CRITICO 2" sheetId="7" r:id="rId7"/>
    <sheet name="PTO CRITICO 1" sheetId="8" r:id="rId8"/>
    <sheet name="RESUMEN" sheetId="9" r:id="rId9"/>
  </sheets>
  <definedNames>
    <definedName name="_xlnm.Print_Area" localSheetId="8">'RESUMEN'!$A$1:$C$22</definedName>
  </definedNames>
  <calcPr fullCalcOnLoad="1"/>
</workbook>
</file>

<file path=xl/sharedStrings.xml><?xml version="1.0" encoding="utf-8"?>
<sst xmlns="http://schemas.openxmlformats.org/spreadsheetml/2006/main" count="472" uniqueCount="140">
  <si>
    <t>DESCRIPCION</t>
  </si>
  <si>
    <t>UNIDAD</t>
  </si>
  <si>
    <t>CANTIDAD</t>
  </si>
  <si>
    <t>M3</t>
  </si>
  <si>
    <t>KG</t>
  </si>
  <si>
    <t>ACERO DE REFUERZO d= 14MM</t>
  </si>
  <si>
    <t>TOTAL</t>
  </si>
  <si>
    <t>HORMIGON PARA MURO   f'C 240 KG/CM2, inc encofrado</t>
  </si>
  <si>
    <t>303-2(1)</t>
  </si>
  <si>
    <t>m3</t>
  </si>
  <si>
    <t>308-4(1)</t>
  </si>
  <si>
    <t>Limpieza de derrumbes</t>
  </si>
  <si>
    <t>309-2 (2)</t>
  </si>
  <si>
    <t>m3/km.</t>
  </si>
  <si>
    <t>403-1</t>
  </si>
  <si>
    <t>404-1</t>
  </si>
  <si>
    <t>m2</t>
  </si>
  <si>
    <t>307-3(1)</t>
  </si>
  <si>
    <t>Excavación para cunetas y encauzamientos (a mano)</t>
  </si>
  <si>
    <t>511-1 (4)</t>
  </si>
  <si>
    <t>Revestimiento de Hormigón Simple (cunetas coronación) (f'c=210kg/cm2)</t>
  </si>
  <si>
    <t>503(1)</t>
  </si>
  <si>
    <t>Hormigon estructural clase B f'c = 280 kg/cm2 (Muro de Anclaje)</t>
  </si>
  <si>
    <t>503(5)</t>
  </si>
  <si>
    <t>Hormigon simple replantillo  f'c = 180 kg/cm3</t>
  </si>
  <si>
    <t>504(1)</t>
  </si>
  <si>
    <t>Acero de refuerzo en barras</t>
  </si>
  <si>
    <t>kg.</t>
  </si>
  <si>
    <t>606-1 (2)</t>
  </si>
  <si>
    <t>Material filtrante</t>
  </si>
  <si>
    <t>606-1 (1b)</t>
  </si>
  <si>
    <t>Geotextil para subdren NT 1600</t>
  </si>
  <si>
    <t xml:space="preserve">Revestimiento de Hormigón Simple (cunetas laterales) (f´c=210kg/cm2) </t>
  </si>
  <si>
    <t>m</t>
  </si>
  <si>
    <t>503-1</t>
  </si>
  <si>
    <t>406 - 8</t>
  </si>
  <si>
    <t>Fresado de pavimento asfáltico</t>
  </si>
  <si>
    <t>309-6(2) E</t>
  </si>
  <si>
    <t>m3/km</t>
  </si>
  <si>
    <t>RUBRO</t>
  </si>
  <si>
    <t xml:space="preserve"> PRECIO UNITARIO</t>
  </si>
  <si>
    <t>PRESUPUESTO</t>
  </si>
  <si>
    <t>VALOR</t>
  </si>
  <si>
    <t>402-2 (1)</t>
  </si>
  <si>
    <t>Mejoramiento de la Subrasante con Suelo seleccionado</t>
  </si>
  <si>
    <t>Subbase clase 1</t>
  </si>
  <si>
    <t>Base clase 1</t>
  </si>
  <si>
    <t>309-6 (5)</t>
  </si>
  <si>
    <t>Hormigón estructural de cemento Portland Clase B (f´c=210 kg/cm2)</t>
  </si>
  <si>
    <t>Kg</t>
  </si>
  <si>
    <t>503 (2)</t>
  </si>
  <si>
    <t>504 (1)</t>
  </si>
  <si>
    <t>403 - 1</t>
  </si>
  <si>
    <t xml:space="preserve">TOTAL </t>
  </si>
  <si>
    <t>Excavación sin clasificación (Terraceo)</t>
  </si>
  <si>
    <t>Material Filtrante</t>
  </si>
  <si>
    <t>606-1 (1a)</t>
  </si>
  <si>
    <t>Tuberia para subdren D=200mm</t>
  </si>
  <si>
    <t>Geotextil para subdren</t>
  </si>
  <si>
    <t xml:space="preserve"> SUBBASE CLASE 1</t>
  </si>
  <si>
    <t>Transporte de material de fresado, DMT=11.27 KM</t>
  </si>
  <si>
    <t>Transporte de base clase 1 D=11.59 Km</t>
  </si>
  <si>
    <t>Transporte de subbase clase 1 D=11.59 Km</t>
  </si>
  <si>
    <t>Transporte de mejoramiento D=11.59 Km</t>
  </si>
  <si>
    <t>Transporte de base clase 1 D=11.27 Km</t>
  </si>
  <si>
    <t>Transporte de subbase clase 1 D=11.27 Km</t>
  </si>
  <si>
    <t>Transporte de mejoramiento D=11.27 Km</t>
  </si>
  <si>
    <t>Transporte de base clase 1 D=29.36 Km</t>
  </si>
  <si>
    <t>Transporte de subbase clase 1 D=29.36 Km</t>
  </si>
  <si>
    <t>Transporte de mejoramiento D=29.36 Km</t>
  </si>
  <si>
    <t>606-1(2)</t>
  </si>
  <si>
    <t>606-1(1b)</t>
  </si>
  <si>
    <t>606-1(1a)</t>
  </si>
  <si>
    <t>Tuberia para subdren (D=200mm)</t>
  </si>
  <si>
    <t>511-1(4)</t>
  </si>
  <si>
    <t>Revestimiento de Hormigón Simple (f'c=210kg/cm2) - Para cunetas laterales de desfogue</t>
  </si>
  <si>
    <t>Transporte de subbase clase 1 D=6.06 Km</t>
  </si>
  <si>
    <t>Transporte de material de excavación (transporte libre 500 m.) D=6.06 KM</t>
  </si>
  <si>
    <t>Transporte de material de excavación (transporte libre 500 m.) D=12.4 KM</t>
  </si>
  <si>
    <t>Transporte de material de fresado, DMT=12.4 KM</t>
  </si>
  <si>
    <t>Transporte de material de fresado, DMT=35.48 KM</t>
  </si>
  <si>
    <t>Transporte de material filtrante D=29.36 Km</t>
  </si>
  <si>
    <t>Transporte de material filtrante D=6.06 Km</t>
  </si>
  <si>
    <t>Transporte de material filtrante D=12.40 Km</t>
  </si>
  <si>
    <t>Transporte de material de fresado, DMT=13.44 KM</t>
  </si>
  <si>
    <t>Transporte de base clase 1 D=13.44 Km</t>
  </si>
  <si>
    <t>Transporte de subbase clase 1 D=13.44 Km</t>
  </si>
  <si>
    <t>Transporte de mejoramiento D=13.44Km</t>
  </si>
  <si>
    <t>Transporte de material filtrante D=13.44 Km</t>
  </si>
  <si>
    <t xml:space="preserve">MONTO REFERENCIAL </t>
  </si>
  <si>
    <t>TRAMO</t>
  </si>
  <si>
    <t>MINISTERIO DE TRANSPORTE Y OBRAS PÚBLICAS</t>
  </si>
  <si>
    <t>DIRECCION DISTRITAL DE CHIMBORAZO</t>
  </si>
  <si>
    <t>PROYECTO:</t>
  </si>
  <si>
    <t>SUB TRAMO</t>
  </si>
  <si>
    <t>UBICACIÓN:</t>
  </si>
  <si>
    <t>LONGITUD:</t>
  </si>
  <si>
    <t>COORDENADAS:</t>
  </si>
  <si>
    <t>PROVINCIA:</t>
  </si>
  <si>
    <t>TABLA DE CANTIDADES Y PRECIOS</t>
  </si>
  <si>
    <t>CHIMBORAZO</t>
  </si>
  <si>
    <t>PRESUPUESTO REFERENCIAL DE PUNTOS CRITICOS</t>
  </si>
  <si>
    <t>PRESUPUESTO REFERENCIAL DE PUNTOS CRÍTICOS</t>
  </si>
  <si>
    <t>BALBANERA – ALAUSÍ</t>
  </si>
  <si>
    <t>UTM: 17M 743854,00; 9761254,00S</t>
  </si>
  <si>
    <t>SECTOR: TIXAN</t>
  </si>
  <si>
    <t xml:space="preserve">0,90 Km </t>
  </si>
  <si>
    <t>SECTOR: ALAUSI</t>
  </si>
  <si>
    <t>UTM: 17M 742673,00; 9759200,00S</t>
  </si>
  <si>
    <t>0,50 Km</t>
  </si>
  <si>
    <t>ALAUSI - GUASUNTOS</t>
  </si>
  <si>
    <t>UTM: 17M 739632,00E; 9755912,00S</t>
  </si>
  <si>
    <t>SECTOR: CEMENTERIO DE ALAUSÍ</t>
  </si>
  <si>
    <t>0,100 Km</t>
  </si>
  <si>
    <t>SECTOR: NIZAG</t>
  </si>
  <si>
    <t>UTM: 17M 740827E; 9752047S</t>
  </si>
  <si>
    <t>0,150 Km</t>
  </si>
  <si>
    <t xml:space="preserve">GUASUNTOS – CHUNCHI </t>
  </si>
  <si>
    <t>SECTOR: GUASUNTOS (LA MOYA)</t>
  </si>
  <si>
    <t>17M 743004,50; 9753154,46S</t>
  </si>
  <si>
    <t>SECTOR: GONZOL</t>
  </si>
  <si>
    <t>CHUNCHI – LÍMITE PROVINCIAL CHIMBORAZO / CAÑAR</t>
  </si>
  <si>
    <t>UTM: 17M 730381E; 9744861S</t>
  </si>
  <si>
    <t>SECTOR: CAPSOL</t>
  </si>
  <si>
    <t>0,400 Km</t>
  </si>
  <si>
    <t>UTM:  17M 726078E; 9736999S</t>
  </si>
  <si>
    <t>SECTOR: JOYAGSHI</t>
  </si>
  <si>
    <t>0,700 Km</t>
  </si>
  <si>
    <t>RIOBAMBA – BALBANERA.</t>
  </si>
  <si>
    <t>DESCRIPCIÓN DEL PUNTO CRITICO</t>
  </si>
  <si>
    <t>ABSCISAS:   Km 76+830 a Km 77+730 (RIOBAMBA 0+000)</t>
  </si>
  <si>
    <t>ABSCISAS:   Km  79+400 a Km 79+900 (RIOBAMBA 0+000)</t>
  </si>
  <si>
    <t>ABSCISAS:   Km 89+076  a Km 89+176  (RIOBAMBA 0+000)</t>
  </si>
  <si>
    <t>ABSCISAS:   Km  96+654 a Km 96+804 (RIOBAMBA 0+000)</t>
  </si>
  <si>
    <t>ABSCISAS:   Km  105+000 a Km 105+100 (RIOBAMBA 0+000)</t>
  </si>
  <si>
    <t>ABSCISAS:   Km  112+000 a Km 112+100  (RIOBAMBA 0+000)</t>
  </si>
  <si>
    <t>ABSCISAS:   Km  131+100 a Km 131+500 (RIOBAMBA 0+000)</t>
  </si>
  <si>
    <t xml:space="preserve">ABSCISAS:   Km  147+000 a Km 147+700  (RIOBAMBA 0+000) </t>
  </si>
  <si>
    <t>UTM: 17M 737700E; 9750755S</t>
  </si>
  <si>
    <t>MANTENIMIENTO POR RESULTADOS DE LA CARRETERA E35: RIOBAMBA - BALBANERA - ALAUSÍ - GUASUNTOS - CHUNCHI - RÍO ANGAS (LÍMITE PROVINCIAL CHIMBORAZO / CAÑAR), CON UNA LONGITUD DE 150,42 KM, UBICADA EN LA PROVINCIA DE CHIMBORAZO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</si>
</sst>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##.00&quot;  m&quot;"/>
    <numFmt numFmtId="181" formatCode="##&quot;  mm&quot;"/>
    <numFmt numFmtId="182" formatCode="#,##0.000"/>
    <numFmt numFmtId="183" formatCode="_-* #,##0.00_-;\-* #,##0.00_-;_-* &quot;-&quot;??_-;_-@_-"/>
    <numFmt numFmtId="184" formatCode="_-&quot;$&quot;\ * #,##0.00_-;\-&quot;$&quot;\ * #,##0.00_-;_-&quot;$&quot;\ * &quot;-&quot;??_-;_-@_-"/>
    <numFmt numFmtId="185" formatCode="#,##0.00\ _€"/>
    <numFmt numFmtId="186" formatCode="[$$-300A]\ #,##0.00"/>
    <numFmt numFmtId="187" formatCode="0\+000.00"/>
    <numFmt numFmtId="188" formatCode="_-* #,##0.00\ &quot;Pta&quot;_-;\-* #,##0.00\ &quot;Pta&quot;_-;_-* &quot;-&quot;??\ &quot;Pta&quot;_-;_-@_-"/>
    <numFmt numFmtId="189" formatCode="General_)"/>
    <numFmt numFmtId="190" formatCode="0&quot;+&quot;000.00"/>
    <numFmt numFmtId="191" formatCode="&quot;$&quot;\ #,##0.00"/>
    <numFmt numFmtId="192" formatCode="#,##0.0000"/>
    <numFmt numFmtId="193" formatCode="#,#00"/>
    <numFmt numFmtId="194" formatCode="m&quot;ont&quot;h\ d&quot;, yyyy&quot;"/>
    <numFmt numFmtId="195" formatCode="#,##0.00&quot;    &quot;;\-#,##0.00&quot;    &quot;;&quot; -&quot;#&quot;    &quot;;@\ "/>
    <numFmt numFmtId="196" formatCode="#,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sz val="10"/>
      <name val="Arial"/>
      <family val="2"/>
    </font>
    <font>
      <sz val="10"/>
      <color indexed="8"/>
      <name val="Arial Narrow"/>
      <family val="2"/>
    </font>
    <font>
      <sz val="10"/>
      <name val="Helv"/>
      <family val="0"/>
    </font>
    <font>
      <sz val="10"/>
      <name val="Courier"/>
      <family val="3"/>
    </font>
    <font>
      <sz val="8"/>
      <name val="Arial"/>
      <family val="2"/>
    </font>
    <font>
      <sz val="12"/>
      <name val="Tms Rmn"/>
      <family val="0"/>
    </font>
    <font>
      <sz val="12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"/>
      <color indexed="8"/>
      <name val="Courier New"/>
      <family val="3"/>
    </font>
    <font>
      <b/>
      <sz val="18"/>
      <color indexed="56"/>
      <name val="Cambria"/>
      <family val="2"/>
    </font>
    <font>
      <b/>
      <sz val="16"/>
      <name val="Arial Narrow"/>
      <family val="2"/>
    </font>
    <font>
      <b/>
      <sz val="13"/>
      <name val="Arial Narrow"/>
      <family val="2"/>
    </font>
    <font>
      <b/>
      <sz val="15"/>
      <name val="Arial Narrow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9"/>
      <color indexed="8"/>
      <name val="Arial Narrow"/>
      <family val="2"/>
    </font>
    <font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0"/>
      <color theme="1"/>
      <name val="Arial Narrow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sz val="11"/>
      <color rgb="FF000000"/>
      <name val="Arial Narrow"/>
      <family val="2"/>
    </font>
    <font>
      <b/>
      <sz val="11"/>
      <color theme="1"/>
      <name val="Arial Narrow"/>
      <family val="2"/>
    </font>
    <font>
      <sz val="9"/>
      <color theme="1"/>
      <name val="Arial Narrow"/>
      <family val="2"/>
    </font>
    <font>
      <sz val="12"/>
      <color rgb="FF000000"/>
      <name val="Arial Narrow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37" borderId="0" applyNumberFormat="0" applyBorder="0" applyAlignment="0" applyProtection="0"/>
    <xf numFmtId="0" fontId="8" fillId="3" borderId="0" applyNumberFormat="0" applyBorder="0" applyAlignment="0" applyProtection="0"/>
    <xf numFmtId="0" fontId="41" fillId="38" borderId="0" applyNumberFormat="0" applyBorder="0" applyAlignment="0" applyProtection="0"/>
    <xf numFmtId="0" fontId="5" fillId="39" borderId="1" applyNumberFormat="0" applyAlignment="0" applyProtection="0"/>
    <xf numFmtId="0" fontId="42" fillId="40" borderId="2" applyNumberFormat="0" applyAlignment="0" applyProtection="0"/>
    <xf numFmtId="0" fontId="43" fillId="41" borderId="3" applyNumberFormat="0" applyAlignment="0" applyProtection="0"/>
    <xf numFmtId="0" fontId="44" fillId="0" borderId="4" applyNumberFormat="0" applyFill="0" applyAlignment="0" applyProtection="0"/>
    <xf numFmtId="192" fontId="1" fillId="0" borderId="0" applyFill="0" applyBorder="0" applyAlignment="0" applyProtection="0"/>
    <xf numFmtId="193" fontId="1" fillId="0" borderId="0" applyFill="0" applyBorder="0" applyAlignment="0" applyProtection="0"/>
    <xf numFmtId="194" fontId="19" fillId="0" borderId="0">
      <alignment/>
      <protection locked="0"/>
    </xf>
    <xf numFmtId="0" fontId="45" fillId="0" borderId="0" applyNumberFormat="0" applyFill="0" applyBorder="0" applyAlignment="0" applyProtection="0"/>
    <xf numFmtId="0" fontId="40" fillId="42" borderId="0" applyNumberFormat="0" applyBorder="0" applyAlignment="0" applyProtection="0"/>
    <xf numFmtId="0" fontId="4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46" fillId="49" borderId="2" applyNumberFormat="0" applyAlignment="0" applyProtection="0"/>
    <xf numFmtId="184" fontId="12" fillId="0" borderId="0" applyFont="0" applyFill="0" applyBorder="0" applyAlignment="0" applyProtection="0"/>
    <xf numFmtId="195" fontId="12" fillId="0" borderId="0">
      <alignment/>
      <protection/>
    </xf>
    <xf numFmtId="0" fontId="12" fillId="0" borderId="0">
      <alignment/>
      <protection/>
    </xf>
    <xf numFmtId="0" fontId="10" fillId="0" borderId="0" applyNumberFormat="0" applyFill="0" applyBorder="0" applyAlignment="0" applyProtection="0"/>
    <xf numFmtId="0" fontId="19" fillId="0" borderId="0">
      <alignment/>
      <protection locked="0"/>
    </xf>
    <xf numFmtId="0" fontId="19" fillId="0" borderId="0">
      <alignment/>
      <protection locked="0"/>
    </xf>
    <xf numFmtId="0" fontId="20" fillId="0" borderId="0">
      <alignment/>
      <protection locked="0"/>
    </xf>
    <xf numFmtId="0" fontId="19" fillId="0" borderId="0">
      <alignment/>
      <protection locked="0"/>
    </xf>
    <xf numFmtId="0" fontId="19" fillId="0" borderId="0">
      <alignment/>
      <protection locked="0"/>
    </xf>
    <xf numFmtId="0" fontId="19" fillId="0" borderId="0">
      <alignment/>
      <protection locked="0"/>
    </xf>
    <xf numFmtId="0" fontId="20" fillId="0" borderId="0">
      <alignment/>
      <protection locked="0"/>
    </xf>
    <xf numFmtId="193" fontId="19" fillId="0" borderId="0">
      <alignment/>
      <protection locked="0"/>
    </xf>
    <xf numFmtId="0" fontId="6" fillId="0" borderId="5" applyNumberFormat="0" applyFill="0" applyAlignment="0" applyProtection="0"/>
    <xf numFmtId="0" fontId="11" fillId="0" borderId="6" applyNumberFormat="0" applyFill="0" applyAlignment="0" applyProtection="0"/>
    <xf numFmtId="0" fontId="7" fillId="0" borderId="7" applyNumberFormat="0" applyFill="0" applyAlignment="0" applyProtection="0"/>
    <xf numFmtId="196" fontId="21" fillId="0" borderId="0">
      <alignment/>
      <protection locked="0"/>
    </xf>
    <xf numFmtId="196" fontId="21" fillId="0" borderId="0">
      <alignment/>
      <protection locked="0"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5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12" fillId="0" borderId="0" applyFont="0" applyFill="0" applyBorder="0" applyAlignment="0" applyProtection="0"/>
    <xf numFmtId="171" fontId="0" fillId="0" borderId="0" applyFont="0" applyFill="0" applyBorder="0" applyAlignment="0" applyProtection="0"/>
    <xf numFmtId="185" fontId="13" fillId="0" borderId="0" applyFont="0" applyFill="0" applyBorder="0" applyAlignment="0" applyProtection="0"/>
    <xf numFmtId="186" fontId="12" fillId="0" borderId="0" applyFont="0" applyFill="0" applyBorder="0" applyAlignment="0" applyProtection="0"/>
    <xf numFmtId="185" fontId="13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83" fontId="1" fillId="0" borderId="0" applyFont="0" applyFill="0" applyBorder="0" applyAlignment="0" applyProtection="0"/>
    <xf numFmtId="179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0" fontId="50" fillId="51" borderId="0" applyNumberFormat="0" applyBorder="0" applyAlignment="0" applyProtection="0"/>
    <xf numFmtId="189" fontId="14" fillId="0" borderId="0">
      <alignment/>
      <protection/>
    </xf>
    <xf numFmtId="190" fontId="1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1" fillId="0" borderId="0">
      <alignment/>
      <protection/>
    </xf>
    <xf numFmtId="0" fontId="16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6" fillId="0" borderId="0">
      <alignment vertical="center"/>
      <protection/>
    </xf>
    <xf numFmtId="0" fontId="5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0" fontId="15" fillId="0" borderId="0">
      <alignment/>
      <protection/>
    </xf>
    <xf numFmtId="190" fontId="15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190" fontId="15" fillId="0" borderId="0">
      <alignment/>
      <protection/>
    </xf>
    <xf numFmtId="0" fontId="0" fillId="52" borderId="8" applyNumberFormat="0" applyFont="0" applyAlignment="0" applyProtection="0"/>
    <xf numFmtId="0" fontId="9" fillId="39" borderId="9" applyNumberFormat="0" applyAlignment="0" applyProtection="0"/>
    <xf numFmtId="9" fontId="1" fillId="0" borderId="0" applyFill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53" fillId="40" borderId="10" applyNumberFormat="0" applyAlignment="0" applyProtection="0"/>
    <xf numFmtId="0" fontId="17" fillId="0" borderId="0" applyNumberFormat="0" applyFill="0" applyBorder="0" applyAlignment="0">
      <protection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1" applyNumberFormat="0" applyFill="0" applyAlignment="0" applyProtection="0"/>
    <xf numFmtId="0" fontId="58" fillId="0" borderId="12" applyNumberFormat="0" applyFill="0" applyAlignment="0" applyProtection="0"/>
    <xf numFmtId="0" fontId="45" fillId="0" borderId="13" applyNumberFormat="0" applyFill="0" applyAlignment="0" applyProtection="0"/>
    <xf numFmtId="0" fontId="59" fillId="0" borderId="14" applyNumberFormat="0" applyFill="0" applyAlignment="0" applyProtection="0"/>
  </cellStyleXfs>
  <cellXfs count="143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15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60" fillId="0" borderId="15" xfId="0" applyFont="1" applyBorder="1" applyAlignment="1">
      <alignment/>
    </xf>
    <xf numFmtId="4" fontId="60" fillId="0" borderId="0" xfId="0" applyNumberFormat="1" applyFont="1" applyAlignment="1">
      <alignment/>
    </xf>
    <xf numFmtId="0" fontId="61" fillId="0" borderId="0" xfId="0" applyFont="1" applyBorder="1" applyAlignment="1">
      <alignment vertical="center"/>
    </xf>
    <xf numFmtId="0" fontId="61" fillId="0" borderId="0" xfId="0" applyFont="1" applyBorder="1" applyAlignment="1">
      <alignment vertical="center" wrapText="1"/>
    </xf>
    <xf numFmtId="0" fontId="61" fillId="0" borderId="15" xfId="0" applyFont="1" applyBorder="1" applyAlignment="1">
      <alignment horizontal="center" vertical="center"/>
    </xf>
    <xf numFmtId="0" fontId="61" fillId="0" borderId="15" xfId="0" applyFont="1" applyFill="1" applyBorder="1" applyAlignment="1">
      <alignment vertical="center" wrapText="1"/>
    </xf>
    <xf numFmtId="0" fontId="61" fillId="0" borderId="15" xfId="0" applyFont="1" applyBorder="1" applyAlignment="1">
      <alignment vertical="center" wrapText="1"/>
    </xf>
    <xf numFmtId="0" fontId="2" fillId="0" borderId="0" xfId="0" applyFont="1" applyAlignment="1">
      <alignment/>
    </xf>
    <xf numFmtId="0" fontId="60" fillId="0" borderId="15" xfId="0" applyFont="1" applyBorder="1" applyAlignment="1">
      <alignment wrapText="1"/>
    </xf>
    <xf numFmtId="0" fontId="2" fillId="0" borderId="0" xfId="0" applyFont="1" applyAlignment="1">
      <alignment wrapText="1"/>
    </xf>
    <xf numFmtId="0" fontId="60" fillId="0" borderId="0" xfId="0" applyFont="1" applyAlignment="1">
      <alignment wrapText="1"/>
    </xf>
    <xf numFmtId="171" fontId="3" fillId="53" borderId="16" xfId="95" applyFont="1" applyFill="1" applyBorder="1" applyAlignment="1">
      <alignment/>
    </xf>
    <xf numFmtId="0" fontId="3" fillId="53" borderId="17" xfId="0" applyFont="1" applyFill="1" applyBorder="1" applyAlignment="1">
      <alignment horizontal="right"/>
    </xf>
    <xf numFmtId="4" fontId="62" fillId="53" borderId="18" xfId="0" applyNumberFormat="1" applyFont="1" applyFill="1" applyBorder="1" applyAlignment="1">
      <alignment/>
    </xf>
    <xf numFmtId="0" fontId="60" fillId="0" borderId="0" xfId="0" applyFont="1" applyAlignment="1">
      <alignment vertical="center" wrapText="1"/>
    </xf>
    <xf numFmtId="0" fontId="62" fillId="53" borderId="0" xfId="0" applyFont="1" applyFill="1" applyAlignment="1">
      <alignment horizontal="right"/>
    </xf>
    <xf numFmtId="4" fontId="60" fillId="0" borderId="0" xfId="0" applyNumberFormat="1" applyFont="1" applyBorder="1" applyAlignment="1">
      <alignment/>
    </xf>
    <xf numFmtId="0" fontId="60" fillId="0" borderId="0" xfId="0" applyFont="1" applyBorder="1" applyAlignment="1">
      <alignment/>
    </xf>
    <xf numFmtId="0" fontId="62" fillId="0" borderId="15" xfId="0" applyFont="1" applyBorder="1" applyAlignment="1">
      <alignment/>
    </xf>
    <xf numFmtId="170" fontId="60" fillId="0" borderId="15" xfId="124" applyFont="1" applyBorder="1" applyAlignment="1">
      <alignment/>
    </xf>
    <xf numFmtId="170" fontId="62" fillId="0" borderId="15" xfId="124" applyFont="1" applyBorder="1" applyAlignment="1">
      <alignment/>
    </xf>
    <xf numFmtId="0" fontId="60" fillId="0" borderId="15" xfId="0" applyFont="1" applyBorder="1" applyAlignment="1">
      <alignment horizontal="center" vertical="center"/>
    </xf>
    <xf numFmtId="0" fontId="60" fillId="0" borderId="15" xfId="0" applyFont="1" applyBorder="1" applyAlignment="1">
      <alignment vertical="center" wrapText="1"/>
    </xf>
    <xf numFmtId="0" fontId="60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Fill="1" applyBorder="1" applyAlignment="1">
      <alignment vertical="center" wrapText="1"/>
    </xf>
    <xf numFmtId="14" fontId="60" fillId="0" borderId="0" xfId="0" applyNumberFormat="1" applyFont="1" applyAlignment="1">
      <alignment/>
    </xf>
    <xf numFmtId="0" fontId="62" fillId="0" borderId="15" xfId="0" applyFont="1" applyBorder="1" applyAlignment="1">
      <alignment horizontal="center"/>
    </xf>
    <xf numFmtId="0" fontId="60" fillId="0" borderId="0" xfId="0" applyFont="1" applyFill="1" applyAlignment="1">
      <alignment/>
    </xf>
    <xf numFmtId="0" fontId="60" fillId="0" borderId="0" xfId="0" applyFont="1" applyAlignment="1">
      <alignment/>
    </xf>
    <xf numFmtId="0" fontId="60" fillId="0" borderId="0" xfId="0" applyFont="1" applyAlignment="1">
      <alignment horizontal="center"/>
    </xf>
    <xf numFmtId="0" fontId="3" fillId="54" borderId="0" xfId="134" applyFont="1" applyFill="1" applyAlignment="1">
      <alignment vertical="center"/>
      <protection/>
    </xf>
    <xf numFmtId="0" fontId="3" fillId="54" borderId="0" xfId="134" applyFont="1" applyFill="1" applyAlignment="1">
      <alignment horizontal="center" vertical="center"/>
      <protection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4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4" fontId="60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0" fontId="25" fillId="54" borderId="0" xfId="134" applyFont="1" applyFill="1" applyAlignment="1">
      <alignment horizontal="center" vertical="center"/>
      <protection/>
    </xf>
    <xf numFmtId="0" fontId="25" fillId="54" borderId="0" xfId="134" applyFont="1" applyFill="1" applyAlignment="1">
      <alignment horizontal="left" vertical="center"/>
      <protection/>
    </xf>
    <xf numFmtId="2" fontId="60" fillId="0" borderId="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4" fontId="2" fillId="0" borderId="0" xfId="0" applyNumberFormat="1" applyFont="1" applyFill="1" applyAlignment="1">
      <alignment horizontal="left" wrapText="1"/>
    </xf>
    <xf numFmtId="0" fontId="60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4" fontId="60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center"/>
    </xf>
    <xf numFmtId="2" fontId="2" fillId="0" borderId="15" xfId="0" applyNumberFormat="1" applyFont="1" applyBorder="1" applyAlignment="1">
      <alignment/>
    </xf>
    <xf numFmtId="0" fontId="61" fillId="0" borderId="0" xfId="0" applyFont="1" applyBorder="1" applyAlignment="1">
      <alignment/>
    </xf>
    <xf numFmtId="0" fontId="2" fillId="0" borderId="0" xfId="0" applyFont="1" applyAlignment="1">
      <alignment/>
    </xf>
    <xf numFmtId="171" fontId="3" fillId="53" borderId="16" xfId="95" applyFont="1" applyFill="1" applyBorder="1" applyAlignment="1">
      <alignment/>
    </xf>
    <xf numFmtId="2" fontId="60" fillId="0" borderId="0" xfId="0" applyNumberFormat="1" applyFont="1" applyBorder="1" applyAlignment="1">
      <alignment horizontal="center"/>
    </xf>
    <xf numFmtId="0" fontId="60" fillId="0" borderId="0" xfId="0" applyFont="1" applyFill="1" applyAlignment="1">
      <alignment vertical="center"/>
    </xf>
    <xf numFmtId="4" fontId="60" fillId="0" borderId="0" xfId="0" applyNumberFormat="1" applyFont="1" applyFill="1" applyAlignment="1">
      <alignment vertical="center"/>
    </xf>
    <xf numFmtId="4" fontId="60" fillId="0" borderId="0" xfId="0" applyNumberFormat="1" applyFont="1" applyBorder="1" applyAlignment="1">
      <alignment vertical="center"/>
    </xf>
    <xf numFmtId="4" fontId="60" fillId="0" borderId="0" xfId="0" applyNumberFormat="1" applyFont="1" applyAlignment="1">
      <alignment vertical="center"/>
    </xf>
    <xf numFmtId="4" fontId="62" fillId="53" borderId="0" xfId="0" applyNumberFormat="1" applyFont="1" applyFill="1" applyAlignment="1">
      <alignment horizontal="right" vertical="center"/>
    </xf>
    <xf numFmtId="4" fontId="62" fillId="53" borderId="18" xfId="0" applyNumberFormat="1" applyFont="1" applyFill="1" applyBorder="1" applyAlignment="1">
      <alignment vertical="center"/>
    </xf>
    <xf numFmtId="2" fontId="63" fillId="0" borderId="0" xfId="0" applyNumberFormat="1" applyFont="1" applyBorder="1" applyAlignment="1">
      <alignment horizontal="center" vertical="center"/>
    </xf>
    <xf numFmtId="0" fontId="62" fillId="0" borderId="0" xfId="0" applyFont="1" applyBorder="1" applyAlignment="1">
      <alignment horizontal="center"/>
    </xf>
    <xf numFmtId="0" fontId="64" fillId="0" borderId="0" xfId="0" applyFont="1" applyBorder="1" applyAlignment="1">
      <alignment horizontal="center" vertical="center"/>
    </xf>
    <xf numFmtId="0" fontId="6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/>
    </xf>
    <xf numFmtId="0" fontId="64" fillId="0" borderId="0" xfId="0" applyFont="1" applyFill="1" applyBorder="1" applyAlignment="1">
      <alignment vertical="center" wrapText="1"/>
    </xf>
    <xf numFmtId="0" fontId="64" fillId="0" borderId="0" xfId="0" applyFont="1" applyBorder="1" applyAlignment="1">
      <alignment vertical="center"/>
    </xf>
    <xf numFmtId="0" fontId="64" fillId="0" borderId="0" xfId="0" applyFont="1" applyBorder="1" applyAlignment="1">
      <alignment vertical="center" wrapText="1"/>
    </xf>
    <xf numFmtId="0" fontId="61" fillId="0" borderId="0" xfId="0" applyFont="1" applyBorder="1" applyAlignment="1">
      <alignment wrapText="1"/>
    </xf>
    <xf numFmtId="0" fontId="2" fillId="0" borderId="0" xfId="0" applyFont="1" applyFill="1" applyAlignment="1">
      <alignment wrapText="1"/>
    </xf>
    <xf numFmtId="0" fontId="60" fillId="0" borderId="0" xfId="0" applyFont="1" applyFill="1" applyAlignment="1">
      <alignment wrapText="1"/>
    </xf>
    <xf numFmtId="4" fontId="60" fillId="0" borderId="0" xfId="0" applyNumberFormat="1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4" fontId="2" fillId="0" borderId="0" xfId="0" applyNumberFormat="1" applyFont="1" applyFill="1" applyAlignment="1">
      <alignment horizontal="center" wrapText="1"/>
    </xf>
    <xf numFmtId="4" fontId="3" fillId="0" borderId="0" xfId="0" applyNumberFormat="1" applyFont="1" applyFill="1" applyAlignment="1">
      <alignment horizontal="center" wrapText="1"/>
    </xf>
    <xf numFmtId="0" fontId="60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2" fontId="2" fillId="0" borderId="15" xfId="0" applyNumberFormat="1" applyFont="1" applyBorder="1" applyAlignment="1">
      <alignment wrapText="1"/>
    </xf>
    <xf numFmtId="0" fontId="3" fillId="53" borderId="17" xfId="0" applyFont="1" applyFill="1" applyBorder="1" applyAlignment="1">
      <alignment horizontal="right" wrapText="1"/>
    </xf>
    <xf numFmtId="171" fontId="3" fillId="53" borderId="16" xfId="95" applyFont="1" applyFill="1" applyBorder="1" applyAlignment="1">
      <alignment wrapText="1"/>
    </xf>
    <xf numFmtId="4" fontId="60" fillId="0" borderId="0" xfId="0" applyNumberFormat="1" applyFont="1" applyAlignment="1">
      <alignment wrapText="1"/>
    </xf>
    <xf numFmtId="2" fontId="63" fillId="0" borderId="0" xfId="0" applyNumberFormat="1" applyFont="1" applyBorder="1" applyAlignment="1">
      <alignment horizontal="center" wrapText="1"/>
    </xf>
    <xf numFmtId="171" fontId="2" fillId="0" borderId="15" xfId="95" applyFont="1" applyBorder="1" applyAlignment="1">
      <alignment vertical="center"/>
    </xf>
    <xf numFmtId="171" fontId="2" fillId="0" borderId="15" xfId="95" applyFont="1" applyFill="1" applyBorder="1" applyAlignment="1">
      <alignment vertical="center"/>
    </xf>
    <xf numFmtId="171" fontId="2" fillId="0" borderId="15" xfId="95" applyFont="1" applyBorder="1" applyAlignment="1">
      <alignment/>
    </xf>
    <xf numFmtId="171" fontId="2" fillId="0" borderId="15" xfId="95" applyFont="1" applyFill="1" applyBorder="1" applyAlignment="1">
      <alignment/>
    </xf>
    <xf numFmtId="4" fontId="2" fillId="0" borderId="15" xfId="0" applyNumberFormat="1" applyFont="1" applyFill="1" applyBorder="1" applyAlignment="1">
      <alignment horizontal="center"/>
    </xf>
    <xf numFmtId="4" fontId="2" fillId="0" borderId="15" xfId="0" applyNumberFormat="1" applyFont="1" applyBorder="1" applyAlignment="1">
      <alignment vertical="center"/>
    </xf>
    <xf numFmtId="2" fontId="2" fillId="0" borderId="15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171" fontId="2" fillId="0" borderId="15" xfId="95" applyFont="1" applyBorder="1" applyAlignment="1">
      <alignment/>
    </xf>
    <xf numFmtId="171" fontId="2" fillId="0" borderId="15" xfId="95" applyFont="1" applyFill="1" applyBorder="1" applyAlignment="1">
      <alignment/>
    </xf>
    <xf numFmtId="4" fontId="2" fillId="0" borderId="15" xfId="0" applyNumberFormat="1" applyFont="1" applyFill="1" applyBorder="1" applyAlignment="1">
      <alignment horizontal="center" vertical="center"/>
    </xf>
    <xf numFmtId="2" fontId="2" fillId="0" borderId="15" xfId="0" applyNumberFormat="1" applyFont="1" applyBorder="1" applyAlignment="1">
      <alignment vertical="center"/>
    </xf>
    <xf numFmtId="171" fontId="2" fillId="0" borderId="15" xfId="95" applyFont="1" applyBorder="1" applyAlignment="1">
      <alignment wrapText="1"/>
    </xf>
    <xf numFmtId="171" fontId="2" fillId="0" borderId="15" xfId="95" applyFont="1" applyFill="1" applyBorder="1" applyAlignment="1">
      <alignment wrapText="1"/>
    </xf>
    <xf numFmtId="4" fontId="2" fillId="0" borderId="15" xfId="0" applyNumberFormat="1" applyFont="1" applyFill="1" applyBorder="1" applyAlignment="1">
      <alignment horizontal="right" wrapText="1"/>
    </xf>
    <xf numFmtId="0" fontId="3" fillId="0" borderId="15" xfId="0" applyFont="1" applyBorder="1" applyAlignment="1">
      <alignment horizontal="center" wrapText="1"/>
    </xf>
    <xf numFmtId="0" fontId="62" fillId="0" borderId="0" xfId="0" applyFont="1" applyFill="1" applyAlignment="1">
      <alignment horizontal="center" wrapText="1"/>
    </xf>
    <xf numFmtId="0" fontId="60" fillId="0" borderId="0" xfId="0" applyFont="1" applyFill="1" applyAlignment="1">
      <alignment horizontal="center" wrapText="1"/>
    </xf>
    <xf numFmtId="0" fontId="62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60" fillId="0" borderId="0" xfId="0" applyFont="1" applyAlignment="1">
      <alignment horizontal="center" wrapText="1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62" fillId="0" borderId="0" xfId="0" applyFont="1" applyFill="1" applyAlignment="1">
      <alignment horizontal="center"/>
    </xf>
    <xf numFmtId="0" fontId="60" fillId="0" borderId="0" xfId="0" applyFont="1" applyFill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60" fillId="0" borderId="0" xfId="0" applyFont="1" applyAlignment="1">
      <alignment horizontal="center"/>
    </xf>
    <xf numFmtId="0" fontId="62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3" fillId="54" borderId="0" xfId="134" applyFont="1" applyFill="1" applyAlignment="1">
      <alignment horizontal="center" vertical="center"/>
      <protection/>
    </xf>
    <xf numFmtId="0" fontId="24" fillId="54" borderId="0" xfId="134" applyFont="1" applyFill="1" applyAlignment="1">
      <alignment horizontal="center" vertical="center"/>
      <protection/>
    </xf>
    <xf numFmtId="0" fontId="25" fillId="54" borderId="0" xfId="134" applyFont="1" applyFill="1" applyAlignment="1">
      <alignment horizontal="center" vertical="center"/>
      <protection/>
    </xf>
  </cellXfs>
  <cellStyles count="1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omma 2" xfId="63"/>
    <cellStyle name="Comma 3" xfId="64"/>
    <cellStyle name="Date" xfId="65"/>
    <cellStyle name="Encabezado 4" xfId="66"/>
    <cellStyle name="Énfasis1" xfId="67"/>
    <cellStyle name="Énfasis1 2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xcel Built-in Comma" xfId="76"/>
    <cellStyle name="Excel Built-in Normal" xfId="77"/>
    <cellStyle name="Explanatory Text" xfId="78"/>
    <cellStyle name="F2" xfId="79"/>
    <cellStyle name="F3" xfId="80"/>
    <cellStyle name="F4" xfId="81"/>
    <cellStyle name="F5" xfId="82"/>
    <cellStyle name="F6" xfId="83"/>
    <cellStyle name="F7" xfId="84"/>
    <cellStyle name="F8" xfId="85"/>
    <cellStyle name="Fixed" xfId="86"/>
    <cellStyle name="Heading 1" xfId="87"/>
    <cellStyle name="Heading 2" xfId="88"/>
    <cellStyle name="Heading 3" xfId="89"/>
    <cellStyle name="Heading1" xfId="90"/>
    <cellStyle name="Heading2" xfId="91"/>
    <cellStyle name="Hyperlink" xfId="92"/>
    <cellStyle name="Followed Hyperlink" xfId="93"/>
    <cellStyle name="Incorrecto" xfId="94"/>
    <cellStyle name="Comma" xfId="95"/>
    <cellStyle name="Comma [0]" xfId="96"/>
    <cellStyle name="Millares 10" xfId="97"/>
    <cellStyle name="Millares 11" xfId="98"/>
    <cellStyle name="Millares 2" xfId="99"/>
    <cellStyle name="Millares 2 2" xfId="100"/>
    <cellStyle name="Millares 2 2 2" xfId="101"/>
    <cellStyle name="Millares 2 2 2 2" xfId="102"/>
    <cellStyle name="Millares 2 2 2 2 2" xfId="103"/>
    <cellStyle name="Millares 2 2 2 2 3" xfId="104"/>
    <cellStyle name="Millares 2 2 2 3" xfId="105"/>
    <cellStyle name="Millares 2 2 3" xfId="106"/>
    <cellStyle name="Millares 2 2 4" xfId="107"/>
    <cellStyle name="Millares 2 3" xfId="108"/>
    <cellStyle name="Millares 2 4" xfId="109"/>
    <cellStyle name="Millares 2_Orden de cambio final" xfId="110"/>
    <cellStyle name="Millares 3" xfId="111"/>
    <cellStyle name="Millares 3 2" xfId="112"/>
    <cellStyle name="Millares 4" xfId="113"/>
    <cellStyle name="Millares 5" xfId="114"/>
    <cellStyle name="Millares 6" xfId="115"/>
    <cellStyle name="Millares 6 2" xfId="116"/>
    <cellStyle name="Millares 6 3" xfId="117"/>
    <cellStyle name="Millares 7" xfId="118"/>
    <cellStyle name="Millares 8" xfId="119"/>
    <cellStyle name="Millares 8 2" xfId="120"/>
    <cellStyle name="Millares 8 3" xfId="121"/>
    <cellStyle name="Millares 9" xfId="122"/>
    <cellStyle name="Millares 9 2" xfId="123"/>
    <cellStyle name="Currency" xfId="124"/>
    <cellStyle name="Currency [0]" xfId="125"/>
    <cellStyle name="Moneda 2" xfId="126"/>
    <cellStyle name="Moneda 5" xfId="127"/>
    <cellStyle name="Neutral" xfId="128"/>
    <cellStyle name="Normal - Modelo1" xfId="129"/>
    <cellStyle name="Normal 10" xfId="130"/>
    <cellStyle name="Normal 11" xfId="131"/>
    <cellStyle name="Normal 12" xfId="132"/>
    <cellStyle name="Normal 13" xfId="133"/>
    <cellStyle name="Normal 14" xfId="134"/>
    <cellStyle name="Normal 2" xfId="135"/>
    <cellStyle name="Normal 2 2" xfId="136"/>
    <cellStyle name="Normal 2 3" xfId="137"/>
    <cellStyle name="Normal 2 4" xfId="138"/>
    <cellStyle name="Normal 2 5" xfId="139"/>
    <cellStyle name="Normal 2 6" xfId="140"/>
    <cellStyle name="Normal 2_licitacion-linea de conduccion-cedeño-2010" xfId="141"/>
    <cellStyle name="Normal 3" xfId="142"/>
    <cellStyle name="Normal 3 2" xfId="143"/>
    <cellStyle name="Normal 4" xfId="144"/>
    <cellStyle name="Normal 5" xfId="145"/>
    <cellStyle name="Normal 5 2" xfId="146"/>
    <cellStyle name="Normal 6" xfId="147"/>
    <cellStyle name="Normal 7" xfId="148"/>
    <cellStyle name="Normal 7 2" xfId="149"/>
    <cellStyle name="Normal 8" xfId="150"/>
    <cellStyle name="Normal 9" xfId="151"/>
    <cellStyle name="Notas" xfId="152"/>
    <cellStyle name="Output" xfId="153"/>
    <cellStyle name="Percent 2" xfId="154"/>
    <cellStyle name="Percent" xfId="155"/>
    <cellStyle name="Porcentual 2" xfId="156"/>
    <cellStyle name="Porcentual 2 2" xfId="157"/>
    <cellStyle name="Porcentual 3" xfId="158"/>
    <cellStyle name="Porcentual 3 2" xfId="159"/>
    <cellStyle name="Porcentual 4" xfId="160"/>
    <cellStyle name="Porcentual 4 2" xfId="161"/>
    <cellStyle name="Porcentual 4 3" xfId="162"/>
    <cellStyle name="Porcentual 5" xfId="163"/>
    <cellStyle name="Salida" xfId="164"/>
    <cellStyle name="Standard" xfId="165"/>
    <cellStyle name="Texto de advertencia" xfId="166"/>
    <cellStyle name="Texto explicativo" xfId="167"/>
    <cellStyle name="Title" xfId="168"/>
    <cellStyle name="Título" xfId="169"/>
    <cellStyle name="Título 1" xfId="170"/>
    <cellStyle name="Título 2" xfId="171"/>
    <cellStyle name="Título 3" xfId="172"/>
    <cellStyle name="Total" xfId="1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0</xdr:row>
      <xdr:rowOff>85725</xdr:rowOff>
    </xdr:from>
    <xdr:to>
      <xdr:col>2</xdr:col>
      <xdr:colOff>2095500</xdr:colOff>
      <xdr:row>6</xdr:row>
      <xdr:rowOff>38100</xdr:rowOff>
    </xdr:to>
    <xdr:sp>
      <xdr:nvSpPr>
        <xdr:cNvPr id="1" name="Rectangle 1" descr="logoopcion1"/>
        <xdr:cNvSpPr>
          <a:spLocks/>
        </xdr:cNvSpPr>
      </xdr:nvSpPr>
      <xdr:spPr>
        <a:xfrm>
          <a:off x="7305675" y="85725"/>
          <a:ext cx="1952625" cy="1419225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view="pageBreakPreview" zoomScaleSheetLayoutView="100" zoomScalePageLayoutView="0" workbookViewId="0" topLeftCell="A10">
      <selection activeCell="G27" sqref="G27"/>
    </sheetView>
  </sheetViews>
  <sheetFormatPr defaultColWidth="16.28125" defaultRowHeight="15"/>
  <cols>
    <col min="1" max="1" width="16.28125" style="14" customWidth="1"/>
    <col min="2" max="2" width="36.28125" style="14" customWidth="1"/>
    <col min="3" max="3" width="13.57421875" style="14" customWidth="1"/>
    <col min="4" max="16384" width="16.28125" style="14" customWidth="1"/>
  </cols>
  <sheetData>
    <row r="1" spans="1:6" ht="16.5">
      <c r="A1" s="113" t="s">
        <v>91</v>
      </c>
      <c r="B1" s="113"/>
      <c r="C1" s="113"/>
      <c r="D1" s="113"/>
      <c r="E1" s="113"/>
      <c r="F1" s="113"/>
    </row>
    <row r="2" spans="1:6" ht="16.5">
      <c r="A2" s="114" t="s">
        <v>92</v>
      </c>
      <c r="B2" s="114"/>
      <c r="C2" s="114"/>
      <c r="D2" s="114"/>
      <c r="E2" s="114"/>
      <c r="F2" s="114"/>
    </row>
    <row r="3" spans="1:6" ht="16.5">
      <c r="A3" s="115" t="s">
        <v>102</v>
      </c>
      <c r="B3" s="115"/>
      <c r="C3" s="115"/>
      <c r="D3" s="115"/>
      <c r="E3" s="115"/>
      <c r="F3" s="115"/>
    </row>
    <row r="4" spans="1:6" ht="64.5" customHeight="1">
      <c r="A4" s="83" t="s">
        <v>93</v>
      </c>
      <c r="B4" s="116" t="s">
        <v>139</v>
      </c>
      <c r="C4" s="116"/>
      <c r="D4" s="116"/>
      <c r="E4" s="116"/>
      <c r="F4" s="116"/>
    </row>
    <row r="5" spans="1:6" ht="16.5">
      <c r="A5" s="83" t="s">
        <v>94</v>
      </c>
      <c r="B5" s="117" t="s">
        <v>121</v>
      </c>
      <c r="C5" s="117"/>
      <c r="D5" s="117"/>
      <c r="E5" s="117"/>
      <c r="F5" s="51"/>
    </row>
    <row r="6" spans="1:6" ht="16.5">
      <c r="A6" s="83" t="s">
        <v>95</v>
      </c>
      <c r="B6" s="84" t="s">
        <v>126</v>
      </c>
      <c r="C6" s="50"/>
      <c r="D6" s="51"/>
      <c r="E6" s="83"/>
      <c r="F6" s="51"/>
    </row>
    <row r="7" spans="1:6" ht="16.5">
      <c r="A7" s="83" t="s">
        <v>96</v>
      </c>
      <c r="B7" s="50" t="s">
        <v>127</v>
      </c>
      <c r="C7" s="84"/>
      <c r="D7" s="85"/>
      <c r="E7" s="83"/>
      <c r="F7" s="51"/>
    </row>
    <row r="8" spans="1:6" ht="16.5">
      <c r="A8" s="83" t="s">
        <v>97</v>
      </c>
      <c r="B8" s="50" t="s">
        <v>125</v>
      </c>
      <c r="C8" s="84"/>
      <c r="D8" s="85"/>
      <c r="E8" s="83"/>
      <c r="F8" s="55"/>
    </row>
    <row r="9" spans="1:6" ht="16.5">
      <c r="A9" s="83" t="s">
        <v>98</v>
      </c>
      <c r="B9" s="50" t="s">
        <v>100</v>
      </c>
      <c r="C9" s="86"/>
      <c r="D9" s="87"/>
      <c r="E9" s="86"/>
      <c r="F9" s="88"/>
    </row>
    <row r="10" spans="1:6" ht="16.5">
      <c r="A10" s="83"/>
      <c r="B10" s="50"/>
      <c r="C10" s="86"/>
      <c r="D10" s="87"/>
      <c r="E10" s="86"/>
      <c r="F10" s="88"/>
    </row>
    <row r="11" spans="1:6" ht="16.5">
      <c r="A11" s="118" t="s">
        <v>99</v>
      </c>
      <c r="B11" s="118"/>
      <c r="C11" s="118"/>
      <c r="D11" s="118"/>
      <c r="E11" s="118"/>
      <c r="F11" s="118"/>
    </row>
    <row r="12" ht="7.5" customHeight="1"/>
    <row r="13" spans="1:6" ht="16.5" customHeight="1">
      <c r="A13" s="112" t="s">
        <v>39</v>
      </c>
      <c r="B13" s="112" t="s">
        <v>0</v>
      </c>
      <c r="C13" s="112" t="s">
        <v>1</v>
      </c>
      <c r="D13" s="112" t="s">
        <v>40</v>
      </c>
      <c r="E13" s="112" t="s">
        <v>41</v>
      </c>
      <c r="F13" s="112"/>
    </row>
    <row r="14" spans="1:6" ht="16.5">
      <c r="A14" s="112"/>
      <c r="B14" s="112"/>
      <c r="C14" s="112"/>
      <c r="D14" s="112"/>
      <c r="E14" s="112" t="s">
        <v>2</v>
      </c>
      <c r="F14" s="112" t="s">
        <v>42</v>
      </c>
    </row>
    <row r="15" spans="1:6" ht="16.5">
      <c r="A15" s="112"/>
      <c r="B15" s="112"/>
      <c r="C15" s="112"/>
      <c r="D15" s="112"/>
      <c r="E15" s="112"/>
      <c r="F15" s="112"/>
    </row>
    <row r="16" spans="1:6" ht="16.5">
      <c r="A16" s="89" t="s">
        <v>35</v>
      </c>
      <c r="B16" s="12" t="s">
        <v>36</v>
      </c>
      <c r="C16" s="89" t="s">
        <v>9</v>
      </c>
      <c r="D16" s="109"/>
      <c r="E16" s="110">
        <f>700*11*0.1</f>
        <v>770</v>
      </c>
      <c r="F16" s="109">
        <f aca="true" t="shared" si="0" ref="F16:F27">+ROUND(E16*D16,2)</f>
        <v>0</v>
      </c>
    </row>
    <row r="17" spans="1:6" ht="33">
      <c r="A17" s="89" t="s">
        <v>37</v>
      </c>
      <c r="B17" s="12" t="s">
        <v>80</v>
      </c>
      <c r="C17" s="89" t="s">
        <v>38</v>
      </c>
      <c r="D17" s="109"/>
      <c r="E17" s="110">
        <f>+E16*35.48</f>
        <v>27319.6</v>
      </c>
      <c r="F17" s="109">
        <f t="shared" si="0"/>
        <v>0</v>
      </c>
    </row>
    <row r="18" spans="1:7" ht="33">
      <c r="A18" s="89" t="s">
        <v>43</v>
      </c>
      <c r="B18" s="12" t="s">
        <v>44</v>
      </c>
      <c r="C18" s="89" t="s">
        <v>9</v>
      </c>
      <c r="D18" s="109"/>
      <c r="E18" s="110">
        <f>700*0.5*11</f>
        <v>3850</v>
      </c>
      <c r="F18" s="109">
        <f t="shared" si="0"/>
        <v>0</v>
      </c>
      <c r="G18" s="82"/>
    </row>
    <row r="19" spans="1:7" ht="16.5">
      <c r="A19" s="89" t="s">
        <v>14</v>
      </c>
      <c r="B19" s="12" t="s">
        <v>45</v>
      </c>
      <c r="C19" s="89" t="s">
        <v>9</v>
      </c>
      <c r="D19" s="109"/>
      <c r="E19" s="110">
        <f>700*0.35*11</f>
        <v>2694.9999999999995</v>
      </c>
      <c r="F19" s="109">
        <f t="shared" si="0"/>
        <v>0</v>
      </c>
      <c r="G19" s="82"/>
    </row>
    <row r="20" spans="1:7" ht="16.5">
      <c r="A20" s="89" t="s">
        <v>15</v>
      </c>
      <c r="B20" s="12" t="s">
        <v>46</v>
      </c>
      <c r="C20" s="89" t="s">
        <v>9</v>
      </c>
      <c r="D20" s="109"/>
      <c r="E20" s="110">
        <f>700*0.3*11</f>
        <v>2310</v>
      </c>
      <c r="F20" s="109">
        <f t="shared" si="0"/>
        <v>0</v>
      </c>
      <c r="G20" s="82"/>
    </row>
    <row r="21" spans="1:7" ht="16.5">
      <c r="A21" s="89" t="s">
        <v>47</v>
      </c>
      <c r="B21" s="12" t="s">
        <v>67</v>
      </c>
      <c r="C21" s="89" t="s">
        <v>38</v>
      </c>
      <c r="D21" s="109"/>
      <c r="E21" s="110">
        <f>+E20*29.36</f>
        <v>67821.6</v>
      </c>
      <c r="F21" s="109">
        <f t="shared" si="0"/>
        <v>0</v>
      </c>
      <c r="G21" s="82"/>
    </row>
    <row r="22" spans="1:7" ht="16.5">
      <c r="A22" s="89" t="s">
        <v>47</v>
      </c>
      <c r="B22" s="12" t="s">
        <v>68</v>
      </c>
      <c r="C22" s="89" t="s">
        <v>38</v>
      </c>
      <c r="D22" s="109"/>
      <c r="E22" s="110">
        <f>+E19*29.36</f>
        <v>79125.19999999998</v>
      </c>
      <c r="F22" s="109">
        <f t="shared" si="0"/>
        <v>0</v>
      </c>
      <c r="G22" s="82"/>
    </row>
    <row r="23" spans="1:7" ht="16.5">
      <c r="A23" s="89" t="s">
        <v>47</v>
      </c>
      <c r="B23" s="12" t="s">
        <v>69</v>
      </c>
      <c r="C23" s="89" t="s">
        <v>38</v>
      </c>
      <c r="D23" s="109"/>
      <c r="E23" s="110">
        <f>+E18*29.36</f>
        <v>113036</v>
      </c>
      <c r="F23" s="109">
        <f t="shared" si="0"/>
        <v>0</v>
      </c>
      <c r="G23" s="82"/>
    </row>
    <row r="24" spans="1:7" ht="16.5">
      <c r="A24" s="90" t="s">
        <v>70</v>
      </c>
      <c r="B24" s="60" t="s">
        <v>29</v>
      </c>
      <c r="C24" s="91" t="s">
        <v>9</v>
      </c>
      <c r="D24" s="111"/>
      <c r="E24" s="92">
        <f>700*1.5*0.5</f>
        <v>525</v>
      </c>
      <c r="F24" s="109">
        <f t="shared" si="0"/>
        <v>0</v>
      </c>
      <c r="G24" s="82"/>
    </row>
    <row r="25" spans="1:7" ht="16.5">
      <c r="A25" s="89" t="s">
        <v>47</v>
      </c>
      <c r="B25" s="12" t="s">
        <v>81</v>
      </c>
      <c r="C25" s="89" t="s">
        <v>38</v>
      </c>
      <c r="D25" s="109"/>
      <c r="E25" s="110">
        <f>+E24*29.36</f>
        <v>15414</v>
      </c>
      <c r="F25" s="109">
        <f t="shared" si="0"/>
        <v>0</v>
      </c>
      <c r="G25" s="82"/>
    </row>
    <row r="26" spans="1:7" ht="16.5">
      <c r="A26" s="90" t="s">
        <v>71</v>
      </c>
      <c r="B26" s="60" t="s">
        <v>31</v>
      </c>
      <c r="C26" s="91" t="s">
        <v>16</v>
      </c>
      <c r="D26" s="111"/>
      <c r="E26" s="92">
        <f>((1.5*2)+(0.5*2)+0.3)*700</f>
        <v>3010</v>
      </c>
      <c r="F26" s="109">
        <f t="shared" si="0"/>
        <v>0</v>
      </c>
      <c r="G26" s="82"/>
    </row>
    <row r="27" spans="1:7" ht="16.5">
      <c r="A27" s="90" t="s">
        <v>72</v>
      </c>
      <c r="B27" s="60" t="s">
        <v>73</v>
      </c>
      <c r="C27" s="91" t="s">
        <v>33</v>
      </c>
      <c r="D27" s="111"/>
      <c r="E27" s="92">
        <v>700</v>
      </c>
      <c r="F27" s="109">
        <f t="shared" si="0"/>
        <v>0</v>
      </c>
      <c r="G27" s="82"/>
    </row>
    <row r="28" spans="1:6" ht="17.25" thickBot="1">
      <c r="A28" s="13"/>
      <c r="B28" s="13"/>
      <c r="C28" s="13"/>
      <c r="D28" s="13"/>
      <c r="E28" s="93" t="s">
        <v>6</v>
      </c>
      <c r="F28" s="94">
        <v>230132.82</v>
      </c>
    </row>
    <row r="30" ht="16.5">
      <c r="F30" s="95"/>
    </row>
    <row r="31" spans="1:6" ht="16.5">
      <c r="A31" s="96"/>
      <c r="F31" s="95"/>
    </row>
  </sheetData>
  <sheetProtection/>
  <mergeCells count="13">
    <mergeCell ref="A1:F1"/>
    <mergeCell ref="A2:F2"/>
    <mergeCell ref="A3:F3"/>
    <mergeCell ref="B4:F4"/>
    <mergeCell ref="B5:E5"/>
    <mergeCell ref="A11:F11"/>
    <mergeCell ref="A13:A15"/>
    <mergeCell ref="B13:B15"/>
    <mergeCell ref="C13:C15"/>
    <mergeCell ref="D13:D15"/>
    <mergeCell ref="E13:F13"/>
    <mergeCell ref="E14:E15"/>
    <mergeCell ref="F14:F1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view="pageBreakPreview" zoomScaleSheetLayoutView="100" zoomScalePageLayoutView="0" workbookViewId="0" topLeftCell="A7">
      <selection activeCell="D16" sqref="D16:D27"/>
    </sheetView>
  </sheetViews>
  <sheetFormatPr defaultColWidth="11.421875" defaultRowHeight="15"/>
  <cols>
    <col min="1" max="1" width="16.7109375" style="1" customWidth="1"/>
    <col min="2" max="2" width="51.140625" style="1" customWidth="1"/>
    <col min="3" max="3" width="9.00390625" style="1" customWidth="1"/>
    <col min="4" max="4" width="11.57421875" style="1" customWidth="1"/>
    <col min="5" max="5" width="13.7109375" style="1" customWidth="1"/>
    <col min="6" max="6" width="15.7109375" style="1" customWidth="1"/>
    <col min="7" max="16384" width="11.421875" style="1" customWidth="1"/>
  </cols>
  <sheetData>
    <row r="1" spans="1:6" ht="16.5">
      <c r="A1" s="122" t="s">
        <v>91</v>
      </c>
      <c r="B1" s="122"/>
      <c r="C1" s="122"/>
      <c r="D1" s="122"/>
      <c r="E1" s="122"/>
      <c r="F1" s="122"/>
    </row>
    <row r="2" spans="1:6" ht="16.5">
      <c r="A2" s="123" t="s">
        <v>92</v>
      </c>
      <c r="B2" s="123"/>
      <c r="C2" s="123"/>
      <c r="D2" s="123"/>
      <c r="E2" s="123"/>
      <c r="F2" s="123"/>
    </row>
    <row r="3" spans="1:6" ht="16.5">
      <c r="A3" s="124" t="s">
        <v>102</v>
      </c>
      <c r="B3" s="124"/>
      <c r="C3" s="124"/>
      <c r="D3" s="124"/>
      <c r="E3" s="124"/>
      <c r="F3" s="124"/>
    </row>
    <row r="4" spans="1:6" ht="48" customHeight="1">
      <c r="A4" s="37" t="s">
        <v>93</v>
      </c>
      <c r="B4" s="125" t="s">
        <v>139</v>
      </c>
      <c r="C4" s="125"/>
      <c r="D4" s="125"/>
      <c r="E4" s="125"/>
      <c r="F4" s="125"/>
    </row>
    <row r="5" spans="1:6" ht="16.5">
      <c r="A5" s="37" t="s">
        <v>94</v>
      </c>
      <c r="B5" s="126" t="s">
        <v>121</v>
      </c>
      <c r="C5" s="126"/>
      <c r="D5" s="126"/>
      <c r="E5" s="126"/>
      <c r="F5" s="39"/>
    </row>
    <row r="6" spans="1:6" ht="16.5">
      <c r="A6" s="37" t="s">
        <v>95</v>
      </c>
      <c r="B6" s="32" t="s">
        <v>123</v>
      </c>
      <c r="C6" s="38"/>
      <c r="D6" s="39"/>
      <c r="E6" s="37"/>
      <c r="F6" s="39"/>
    </row>
    <row r="7" spans="1:6" ht="16.5">
      <c r="A7" s="37" t="s">
        <v>96</v>
      </c>
      <c r="B7" s="40" t="s">
        <v>124</v>
      </c>
      <c r="C7" s="32"/>
      <c r="D7" s="41"/>
      <c r="E7" s="37"/>
      <c r="F7" s="39"/>
    </row>
    <row r="8" spans="1:6" ht="16.5">
      <c r="A8" s="37" t="s">
        <v>97</v>
      </c>
      <c r="B8" s="40" t="s">
        <v>122</v>
      </c>
      <c r="C8" s="32"/>
      <c r="D8" s="41"/>
      <c r="E8" s="37"/>
      <c r="F8" s="42"/>
    </row>
    <row r="9" spans="1:6" ht="16.5">
      <c r="A9" s="37" t="s">
        <v>98</v>
      </c>
      <c r="B9" s="40" t="s">
        <v>100</v>
      </c>
      <c r="C9" s="43"/>
      <c r="D9" s="44"/>
      <c r="E9" s="43"/>
      <c r="F9" s="45"/>
    </row>
    <row r="10" spans="1:6" ht="16.5">
      <c r="A10" s="37"/>
      <c r="B10" s="40"/>
      <c r="C10" s="43"/>
      <c r="D10" s="44"/>
      <c r="E10" s="43"/>
      <c r="F10" s="45"/>
    </row>
    <row r="11" spans="1:6" ht="16.5">
      <c r="A11" s="127" t="s">
        <v>99</v>
      </c>
      <c r="B11" s="127"/>
      <c r="C11" s="127"/>
      <c r="D11" s="127"/>
      <c r="E11" s="127"/>
      <c r="F11" s="127"/>
    </row>
    <row r="12" ht="7.5" customHeight="1"/>
    <row r="13" spans="1:6" ht="16.5" customHeight="1">
      <c r="A13" s="119" t="s">
        <v>39</v>
      </c>
      <c r="B13" s="120" t="s">
        <v>0</v>
      </c>
      <c r="C13" s="119" t="s">
        <v>1</v>
      </c>
      <c r="D13" s="120" t="s">
        <v>40</v>
      </c>
      <c r="E13" s="121" t="s">
        <v>41</v>
      </c>
      <c r="F13" s="121"/>
    </row>
    <row r="14" spans="1:6" ht="16.5">
      <c r="A14" s="119"/>
      <c r="B14" s="120"/>
      <c r="C14" s="119"/>
      <c r="D14" s="120"/>
      <c r="E14" s="119" t="s">
        <v>2</v>
      </c>
      <c r="F14" s="119" t="s">
        <v>42</v>
      </c>
    </row>
    <row r="15" spans="1:6" ht="16.5">
      <c r="A15" s="119"/>
      <c r="B15" s="120"/>
      <c r="C15" s="119"/>
      <c r="D15" s="120"/>
      <c r="E15" s="119"/>
      <c r="F15" s="119"/>
    </row>
    <row r="16" spans="1:6" ht="16.5">
      <c r="A16" s="2" t="s">
        <v>35</v>
      </c>
      <c r="B16" s="12" t="s">
        <v>36</v>
      </c>
      <c r="C16" s="2" t="s">
        <v>9</v>
      </c>
      <c r="D16" s="105"/>
      <c r="E16" s="106">
        <f>400*11*0.1</f>
        <v>440</v>
      </c>
      <c r="F16" s="105">
        <f aca="true" t="shared" si="0" ref="F16:F27">+ROUND(E16*D16,2)</f>
        <v>0</v>
      </c>
    </row>
    <row r="17" spans="1:6" ht="16.5">
      <c r="A17" s="2" t="s">
        <v>37</v>
      </c>
      <c r="B17" s="12" t="s">
        <v>80</v>
      </c>
      <c r="C17" s="2" t="s">
        <v>38</v>
      </c>
      <c r="D17" s="105"/>
      <c r="E17" s="106">
        <f>+E16*35.48</f>
        <v>15611.199999999999</v>
      </c>
      <c r="F17" s="105">
        <f t="shared" si="0"/>
        <v>0</v>
      </c>
    </row>
    <row r="18" spans="1:7" ht="16.5">
      <c r="A18" s="2" t="s">
        <v>30</v>
      </c>
      <c r="B18" s="12" t="s">
        <v>58</v>
      </c>
      <c r="C18" s="2" t="s">
        <v>16</v>
      </c>
      <c r="D18" s="105"/>
      <c r="E18" s="106">
        <f>4.3*400</f>
        <v>1720</v>
      </c>
      <c r="F18" s="105">
        <f t="shared" si="0"/>
        <v>0</v>
      </c>
      <c r="G18" s="21"/>
    </row>
    <row r="19" spans="1:7" ht="16.5">
      <c r="A19" s="2" t="s">
        <v>28</v>
      </c>
      <c r="B19" s="12" t="s">
        <v>55</v>
      </c>
      <c r="C19" s="2" t="s">
        <v>9</v>
      </c>
      <c r="D19" s="105"/>
      <c r="E19" s="106">
        <f>400*1.5*0.5</f>
        <v>300</v>
      </c>
      <c r="F19" s="105">
        <f t="shared" si="0"/>
        <v>0</v>
      </c>
      <c r="G19" s="21"/>
    </row>
    <row r="20" spans="1:7" ht="16.5">
      <c r="A20" s="2" t="s">
        <v>47</v>
      </c>
      <c r="B20" s="12" t="s">
        <v>81</v>
      </c>
      <c r="C20" s="2" t="s">
        <v>38</v>
      </c>
      <c r="D20" s="105"/>
      <c r="E20" s="106">
        <f>+E19*29.36</f>
        <v>8808</v>
      </c>
      <c r="F20" s="105">
        <f t="shared" si="0"/>
        <v>0</v>
      </c>
      <c r="G20" s="21"/>
    </row>
    <row r="21" spans="1:7" ht="16.5">
      <c r="A21" s="2" t="s">
        <v>56</v>
      </c>
      <c r="B21" s="12" t="s">
        <v>57</v>
      </c>
      <c r="C21" s="2" t="s">
        <v>33</v>
      </c>
      <c r="D21" s="105"/>
      <c r="E21" s="106">
        <v>400</v>
      </c>
      <c r="F21" s="105">
        <f t="shared" si="0"/>
        <v>0</v>
      </c>
      <c r="G21" s="21"/>
    </row>
    <row r="22" spans="1:7" ht="16.5">
      <c r="A22" s="2" t="s">
        <v>43</v>
      </c>
      <c r="B22" s="12" t="s">
        <v>44</v>
      </c>
      <c r="C22" s="2" t="s">
        <v>9</v>
      </c>
      <c r="D22" s="105"/>
      <c r="E22" s="106">
        <f>400*0.4*11</f>
        <v>1760</v>
      </c>
      <c r="F22" s="105">
        <f t="shared" si="0"/>
        <v>0</v>
      </c>
      <c r="G22" s="6"/>
    </row>
    <row r="23" spans="1:7" ht="16.5">
      <c r="A23" s="2" t="s">
        <v>14</v>
      </c>
      <c r="B23" s="12" t="s">
        <v>45</v>
      </c>
      <c r="C23" s="2" t="s">
        <v>9</v>
      </c>
      <c r="D23" s="105"/>
      <c r="E23" s="106">
        <f>400*0.35*11</f>
        <v>1540</v>
      </c>
      <c r="F23" s="105">
        <f t="shared" si="0"/>
        <v>0</v>
      </c>
      <c r="G23" s="7"/>
    </row>
    <row r="24" spans="1:7" ht="16.5">
      <c r="A24" s="2" t="s">
        <v>15</v>
      </c>
      <c r="B24" s="12" t="s">
        <v>46</v>
      </c>
      <c r="C24" s="2" t="s">
        <v>9</v>
      </c>
      <c r="D24" s="105"/>
      <c r="E24" s="106">
        <f>400*0.3*11</f>
        <v>1320</v>
      </c>
      <c r="F24" s="105">
        <f t="shared" si="0"/>
        <v>0</v>
      </c>
      <c r="G24" s="6"/>
    </row>
    <row r="25" spans="1:7" ht="16.5">
      <c r="A25" s="2" t="s">
        <v>47</v>
      </c>
      <c r="B25" s="12" t="s">
        <v>67</v>
      </c>
      <c r="C25" s="2" t="s">
        <v>38</v>
      </c>
      <c r="D25" s="105"/>
      <c r="E25" s="106">
        <f>+E24*29.36</f>
        <v>38755.2</v>
      </c>
      <c r="F25" s="105">
        <f t="shared" si="0"/>
        <v>0</v>
      </c>
      <c r="G25" s="6"/>
    </row>
    <row r="26" spans="1:7" ht="16.5">
      <c r="A26" s="2" t="s">
        <v>47</v>
      </c>
      <c r="B26" s="12" t="s">
        <v>68</v>
      </c>
      <c r="C26" s="2" t="s">
        <v>38</v>
      </c>
      <c r="D26" s="105"/>
      <c r="E26" s="106">
        <f>+E23*29.36</f>
        <v>45214.4</v>
      </c>
      <c r="F26" s="105">
        <f t="shared" si="0"/>
        <v>0</v>
      </c>
      <c r="G26" s="6"/>
    </row>
    <row r="27" spans="1:7" ht="16.5">
      <c r="A27" s="2" t="s">
        <v>47</v>
      </c>
      <c r="B27" s="12" t="s">
        <v>69</v>
      </c>
      <c r="C27" s="2" t="s">
        <v>38</v>
      </c>
      <c r="D27" s="105"/>
      <c r="E27" s="106">
        <f>+E22*29.36</f>
        <v>51673.6</v>
      </c>
      <c r="F27" s="105">
        <f t="shared" si="0"/>
        <v>0</v>
      </c>
      <c r="G27" s="6"/>
    </row>
    <row r="28" spans="1:6" ht="17.25" thickBot="1">
      <c r="A28" s="11"/>
      <c r="B28" s="13"/>
      <c r="C28" s="11"/>
      <c r="D28" s="11"/>
      <c r="E28" s="16" t="s">
        <v>6</v>
      </c>
      <c r="F28" s="15">
        <v>124643.82</v>
      </c>
    </row>
    <row r="30" ht="16.5">
      <c r="F30" s="5"/>
    </row>
    <row r="31" spans="1:6" ht="16.5">
      <c r="A31" s="73"/>
      <c r="F31" s="5"/>
    </row>
  </sheetData>
  <sheetProtection/>
  <mergeCells count="13">
    <mergeCell ref="A1:F1"/>
    <mergeCell ref="A2:F2"/>
    <mergeCell ref="A3:F3"/>
    <mergeCell ref="B4:F4"/>
    <mergeCell ref="B5:E5"/>
    <mergeCell ref="A11:F11"/>
    <mergeCell ref="A13:A15"/>
    <mergeCell ref="B13:B15"/>
    <mergeCell ref="C13:C15"/>
    <mergeCell ref="D13:D15"/>
    <mergeCell ref="E13:F13"/>
    <mergeCell ref="E14:E15"/>
    <mergeCell ref="F14:F1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view="pageBreakPreview" zoomScaleSheetLayoutView="100" zoomScalePageLayoutView="0" workbookViewId="0" topLeftCell="A7">
      <selection activeCell="D16" sqref="D16:D25"/>
    </sheetView>
  </sheetViews>
  <sheetFormatPr defaultColWidth="11.421875" defaultRowHeight="15"/>
  <cols>
    <col min="1" max="1" width="17.8515625" style="1" customWidth="1"/>
    <col min="2" max="2" width="44.7109375" style="14" customWidth="1"/>
    <col min="3" max="16384" width="11.421875" style="1" customWidth="1"/>
  </cols>
  <sheetData>
    <row r="1" spans="1:6" ht="16.5">
      <c r="A1" s="122" t="s">
        <v>91</v>
      </c>
      <c r="B1" s="122"/>
      <c r="C1" s="122"/>
      <c r="D1" s="122"/>
      <c r="E1" s="122"/>
      <c r="F1" s="122"/>
    </row>
    <row r="2" spans="1:6" ht="16.5">
      <c r="A2" s="123" t="s">
        <v>92</v>
      </c>
      <c r="B2" s="123"/>
      <c r="C2" s="123"/>
      <c r="D2" s="123"/>
      <c r="E2" s="123"/>
      <c r="F2" s="123"/>
    </row>
    <row r="3" spans="1:6" ht="16.5">
      <c r="A3" s="124" t="s">
        <v>102</v>
      </c>
      <c r="B3" s="124"/>
      <c r="C3" s="124"/>
      <c r="D3" s="124"/>
      <c r="E3" s="124"/>
      <c r="F3" s="124"/>
    </row>
    <row r="4" spans="1:6" ht="49.5" customHeight="1">
      <c r="A4" s="37" t="s">
        <v>93</v>
      </c>
      <c r="B4" s="125" t="s">
        <v>139</v>
      </c>
      <c r="C4" s="125"/>
      <c r="D4" s="125"/>
      <c r="E4" s="125"/>
      <c r="F4" s="125"/>
    </row>
    <row r="5" spans="1:6" ht="16.5">
      <c r="A5" s="37" t="s">
        <v>94</v>
      </c>
      <c r="B5" s="126" t="s">
        <v>117</v>
      </c>
      <c r="C5" s="126"/>
      <c r="D5" s="126"/>
      <c r="E5" s="126"/>
      <c r="F5" s="39"/>
    </row>
    <row r="6" spans="1:6" ht="16.5">
      <c r="A6" s="37" t="s">
        <v>95</v>
      </c>
      <c r="B6" s="32" t="s">
        <v>120</v>
      </c>
      <c r="C6" s="38"/>
      <c r="D6" s="39"/>
      <c r="E6" s="37"/>
      <c r="F6" s="39"/>
    </row>
    <row r="7" spans="1:6" ht="16.5">
      <c r="A7" s="37" t="s">
        <v>96</v>
      </c>
      <c r="B7" s="40" t="s">
        <v>113</v>
      </c>
      <c r="C7" s="32"/>
      <c r="D7" s="41"/>
      <c r="E7" s="37"/>
      <c r="F7" s="39"/>
    </row>
    <row r="8" spans="1:6" ht="16.5">
      <c r="A8" s="37" t="s">
        <v>97</v>
      </c>
      <c r="B8" s="40" t="s">
        <v>138</v>
      </c>
      <c r="C8" s="32"/>
      <c r="D8" s="41"/>
      <c r="E8" s="37"/>
      <c r="F8" s="42"/>
    </row>
    <row r="9" spans="1:6" ht="16.5">
      <c r="A9" s="37" t="s">
        <v>98</v>
      </c>
      <c r="B9" s="40" t="s">
        <v>100</v>
      </c>
      <c r="C9" s="43"/>
      <c r="D9" s="44"/>
      <c r="E9" s="43"/>
      <c r="F9" s="45"/>
    </row>
    <row r="10" spans="1:6" ht="16.5">
      <c r="A10" s="37"/>
      <c r="B10" s="40"/>
      <c r="C10" s="43"/>
      <c r="D10" s="44"/>
      <c r="E10" s="43"/>
      <c r="F10" s="45"/>
    </row>
    <row r="11" spans="1:6" ht="16.5">
      <c r="A11" s="127" t="s">
        <v>99</v>
      </c>
      <c r="B11" s="127"/>
      <c r="C11" s="127"/>
      <c r="D11" s="127"/>
      <c r="E11" s="127"/>
      <c r="F11" s="127"/>
    </row>
    <row r="12" ht="8.25" customHeight="1"/>
    <row r="13" spans="1:6" ht="16.5" customHeight="1">
      <c r="A13" s="119" t="s">
        <v>39</v>
      </c>
      <c r="B13" s="120" t="s">
        <v>0</v>
      </c>
      <c r="C13" s="119" t="s">
        <v>1</v>
      </c>
      <c r="D13" s="120" t="s">
        <v>40</v>
      </c>
      <c r="E13" s="121" t="s">
        <v>41</v>
      </c>
      <c r="F13" s="121"/>
    </row>
    <row r="14" spans="1:6" s="18" customFormat="1" ht="16.5">
      <c r="A14" s="119"/>
      <c r="B14" s="120"/>
      <c r="C14" s="119"/>
      <c r="D14" s="120"/>
      <c r="E14" s="119" t="s">
        <v>2</v>
      </c>
      <c r="F14" s="119" t="s">
        <v>42</v>
      </c>
    </row>
    <row r="15" spans="1:13" ht="16.5">
      <c r="A15" s="119"/>
      <c r="B15" s="120"/>
      <c r="C15" s="119"/>
      <c r="D15" s="120"/>
      <c r="E15" s="119"/>
      <c r="F15" s="119"/>
      <c r="H15" s="75"/>
      <c r="I15" s="76"/>
      <c r="J15" s="77"/>
      <c r="K15" s="21"/>
      <c r="L15" s="78"/>
      <c r="M15" s="20"/>
    </row>
    <row r="16" spans="1:13" ht="16.5">
      <c r="A16" s="2" t="s">
        <v>35</v>
      </c>
      <c r="B16" s="12" t="s">
        <v>36</v>
      </c>
      <c r="C16" s="2" t="s">
        <v>9</v>
      </c>
      <c r="D16" s="105"/>
      <c r="E16" s="106">
        <f>100*11*0.1</f>
        <v>110</v>
      </c>
      <c r="F16" s="105">
        <f aca="true" t="shared" si="0" ref="F16:F25">+ROUND(E16*D16,2)</f>
        <v>0</v>
      </c>
      <c r="H16" s="75"/>
      <c r="I16" s="76"/>
      <c r="J16" s="77"/>
      <c r="K16" s="21"/>
      <c r="L16" s="78"/>
      <c r="M16" s="20"/>
    </row>
    <row r="17" spans="1:13" ht="16.5">
      <c r="A17" s="2" t="s">
        <v>37</v>
      </c>
      <c r="B17" s="12" t="s">
        <v>79</v>
      </c>
      <c r="C17" s="2" t="s">
        <v>38</v>
      </c>
      <c r="D17" s="105"/>
      <c r="E17" s="106">
        <f>+E16*12.4</f>
        <v>1364</v>
      </c>
      <c r="F17" s="105">
        <f t="shared" si="0"/>
        <v>0</v>
      </c>
      <c r="H17" s="75"/>
      <c r="I17" s="76"/>
      <c r="J17" s="77"/>
      <c r="K17" s="21"/>
      <c r="L17" s="78"/>
      <c r="M17" s="20"/>
    </row>
    <row r="18" spans="1:13" ht="33">
      <c r="A18" s="2" t="s">
        <v>43</v>
      </c>
      <c r="B18" s="12" t="s">
        <v>44</v>
      </c>
      <c r="C18" s="2" t="s">
        <v>9</v>
      </c>
      <c r="D18" s="105"/>
      <c r="E18" s="106">
        <f>100*0.4*11</f>
        <v>440</v>
      </c>
      <c r="F18" s="105">
        <f t="shared" si="0"/>
        <v>0</v>
      </c>
      <c r="H18" s="75"/>
      <c r="I18" s="80"/>
      <c r="J18" s="77"/>
      <c r="K18" s="21"/>
      <c r="L18" s="78"/>
      <c r="M18" s="20"/>
    </row>
    <row r="19" spans="1:13" ht="33">
      <c r="A19" s="2" t="s">
        <v>34</v>
      </c>
      <c r="B19" s="12" t="s">
        <v>48</v>
      </c>
      <c r="C19" s="2" t="s">
        <v>9</v>
      </c>
      <c r="D19" s="105"/>
      <c r="E19" s="106">
        <v>72</v>
      </c>
      <c r="F19" s="105">
        <f t="shared" si="0"/>
        <v>0</v>
      </c>
      <c r="H19" s="75"/>
      <c r="I19" s="81"/>
      <c r="J19" s="77"/>
      <c r="K19" s="21"/>
      <c r="L19" s="78"/>
      <c r="M19" s="20"/>
    </row>
    <row r="20" spans="1:13" ht="16.5">
      <c r="A20" s="2" t="s">
        <v>25</v>
      </c>
      <c r="B20" s="12" t="s">
        <v>26</v>
      </c>
      <c r="C20" s="2" t="s">
        <v>49</v>
      </c>
      <c r="D20" s="105"/>
      <c r="E20" s="106">
        <v>6120.52</v>
      </c>
      <c r="F20" s="105">
        <f t="shared" si="0"/>
        <v>0</v>
      </c>
      <c r="H20" s="75"/>
      <c r="I20" s="80"/>
      <c r="J20" s="77"/>
      <c r="K20" s="21"/>
      <c r="L20" s="78"/>
      <c r="M20" s="20"/>
    </row>
    <row r="21" spans="1:13" ht="16.5">
      <c r="A21" s="2" t="s">
        <v>14</v>
      </c>
      <c r="B21" s="12" t="s">
        <v>45</v>
      </c>
      <c r="C21" s="2" t="s">
        <v>9</v>
      </c>
      <c r="D21" s="105"/>
      <c r="E21" s="106">
        <f>100*0.35*11</f>
        <v>385</v>
      </c>
      <c r="F21" s="105">
        <f t="shared" si="0"/>
        <v>0</v>
      </c>
      <c r="H21" s="75"/>
      <c r="I21" s="80"/>
      <c r="J21" s="77"/>
      <c r="K21" s="21"/>
      <c r="L21" s="78"/>
      <c r="M21" s="20"/>
    </row>
    <row r="22" spans="1:13" ht="16.5">
      <c r="A22" s="2" t="s">
        <v>15</v>
      </c>
      <c r="B22" s="12" t="s">
        <v>46</v>
      </c>
      <c r="C22" s="2" t="s">
        <v>9</v>
      </c>
      <c r="D22" s="105"/>
      <c r="E22" s="106">
        <f>100*0.3*11</f>
        <v>330</v>
      </c>
      <c r="F22" s="105">
        <f t="shared" si="0"/>
        <v>0</v>
      </c>
      <c r="H22" s="75"/>
      <c r="I22" s="80"/>
      <c r="J22" s="77"/>
      <c r="K22" s="21"/>
      <c r="L22" s="78"/>
      <c r="M22" s="20"/>
    </row>
    <row r="23" spans="1:13" ht="16.5">
      <c r="A23" s="2" t="s">
        <v>47</v>
      </c>
      <c r="B23" s="12" t="s">
        <v>61</v>
      </c>
      <c r="C23" s="2" t="s">
        <v>38</v>
      </c>
      <c r="D23" s="105"/>
      <c r="E23" s="106">
        <f>+E22*11.59</f>
        <v>3824.7</v>
      </c>
      <c r="F23" s="105">
        <f t="shared" si="0"/>
        <v>0</v>
      </c>
      <c r="H23" s="75"/>
      <c r="I23" s="80"/>
      <c r="J23" s="77"/>
      <c r="K23" s="21"/>
      <c r="L23" s="78"/>
      <c r="M23" s="20"/>
    </row>
    <row r="24" spans="1:13" ht="16.5">
      <c r="A24" s="2" t="s">
        <v>47</v>
      </c>
      <c r="B24" s="12" t="s">
        <v>62</v>
      </c>
      <c r="C24" s="2" t="s">
        <v>38</v>
      </c>
      <c r="D24" s="105"/>
      <c r="E24" s="106">
        <f>+E21*11.59</f>
        <v>4462.15</v>
      </c>
      <c r="F24" s="105">
        <f t="shared" si="0"/>
        <v>0</v>
      </c>
      <c r="H24" s="75"/>
      <c r="I24" s="76"/>
      <c r="J24" s="77"/>
      <c r="K24" s="21"/>
      <c r="L24" s="78"/>
      <c r="M24" s="20"/>
    </row>
    <row r="25" spans="1:13" ht="16.5">
      <c r="A25" s="2" t="s">
        <v>47</v>
      </c>
      <c r="B25" s="12" t="s">
        <v>63</v>
      </c>
      <c r="C25" s="2" t="s">
        <v>38</v>
      </c>
      <c r="D25" s="105"/>
      <c r="E25" s="106">
        <f>+E18*11.59</f>
        <v>5099.6</v>
      </c>
      <c r="F25" s="105">
        <f t="shared" si="0"/>
        <v>0</v>
      </c>
      <c r="H25" s="75"/>
      <c r="I25" s="79"/>
      <c r="J25" s="77"/>
      <c r="K25" s="21"/>
      <c r="L25" s="78"/>
      <c r="M25" s="20"/>
    </row>
    <row r="26" spans="1:13" ht="17.25" thickBot="1">
      <c r="A26" s="11"/>
      <c r="B26" s="13"/>
      <c r="C26" s="11"/>
      <c r="D26" s="11"/>
      <c r="E26" s="16" t="s">
        <v>6</v>
      </c>
      <c r="F26" s="15">
        <v>45301.78999999999</v>
      </c>
      <c r="H26" s="75"/>
      <c r="I26" s="76"/>
      <c r="J26" s="77"/>
      <c r="K26" s="21"/>
      <c r="L26" s="78"/>
      <c r="M26" s="20"/>
    </row>
    <row r="29" spans="1:2" ht="16.5">
      <c r="A29" s="73"/>
      <c r="B29" s="1"/>
    </row>
  </sheetData>
  <sheetProtection/>
  <mergeCells count="13">
    <mergeCell ref="A1:F1"/>
    <mergeCell ref="A2:F2"/>
    <mergeCell ref="A3:F3"/>
    <mergeCell ref="B4:F4"/>
    <mergeCell ref="B5:E5"/>
    <mergeCell ref="A11:F11"/>
    <mergeCell ref="A13:A15"/>
    <mergeCell ref="B13:B15"/>
    <mergeCell ref="C13:C15"/>
    <mergeCell ref="D13:D15"/>
    <mergeCell ref="E13:F13"/>
    <mergeCell ref="E14:E15"/>
    <mergeCell ref="F14:F1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view="pageBreakPreview" zoomScale="80" zoomScaleSheetLayoutView="80" zoomScalePageLayoutView="0" workbookViewId="0" topLeftCell="A7">
      <selection activeCell="D16" sqref="D16:D28"/>
    </sheetView>
  </sheetViews>
  <sheetFormatPr defaultColWidth="11.421875" defaultRowHeight="15"/>
  <cols>
    <col min="1" max="1" width="18.28125" style="1" customWidth="1"/>
    <col min="2" max="2" width="40.7109375" style="14" customWidth="1"/>
    <col min="3" max="16384" width="11.421875" style="1" customWidth="1"/>
  </cols>
  <sheetData>
    <row r="1" spans="1:6" ht="16.5">
      <c r="A1" s="122" t="s">
        <v>91</v>
      </c>
      <c r="B1" s="122"/>
      <c r="C1" s="122"/>
      <c r="D1" s="122"/>
      <c r="E1" s="122"/>
      <c r="F1" s="122"/>
    </row>
    <row r="2" spans="1:6" ht="16.5">
      <c r="A2" s="123" t="s">
        <v>92</v>
      </c>
      <c r="B2" s="123"/>
      <c r="C2" s="123"/>
      <c r="D2" s="123"/>
      <c r="E2" s="123"/>
      <c r="F2" s="123"/>
    </row>
    <row r="3" spans="1:6" ht="16.5">
      <c r="A3" s="124" t="s">
        <v>102</v>
      </c>
      <c r="B3" s="124"/>
      <c r="C3" s="124"/>
      <c r="D3" s="124"/>
      <c r="E3" s="124"/>
      <c r="F3" s="124"/>
    </row>
    <row r="4" spans="1:6" ht="53.25" customHeight="1">
      <c r="A4" s="37" t="s">
        <v>93</v>
      </c>
      <c r="B4" s="125" t="s">
        <v>139</v>
      </c>
      <c r="C4" s="125"/>
      <c r="D4" s="125"/>
      <c r="E4" s="125"/>
      <c r="F4" s="125"/>
    </row>
    <row r="5" spans="1:6" ht="16.5">
      <c r="A5" s="37" t="s">
        <v>94</v>
      </c>
      <c r="B5" s="126" t="s">
        <v>117</v>
      </c>
      <c r="C5" s="126"/>
      <c r="D5" s="126"/>
      <c r="E5" s="126"/>
      <c r="F5" s="39"/>
    </row>
    <row r="6" spans="1:6" ht="16.5">
      <c r="A6" s="37" t="s">
        <v>95</v>
      </c>
      <c r="B6" s="32" t="s">
        <v>118</v>
      </c>
      <c r="C6" s="38"/>
      <c r="D6" s="39"/>
      <c r="E6" s="37"/>
      <c r="F6" s="39"/>
    </row>
    <row r="7" spans="1:6" ht="16.5">
      <c r="A7" s="37" t="s">
        <v>96</v>
      </c>
      <c r="B7" s="40" t="s">
        <v>113</v>
      </c>
      <c r="C7" s="32"/>
      <c r="D7" s="41"/>
      <c r="E7" s="37"/>
      <c r="F7" s="39"/>
    </row>
    <row r="8" spans="1:6" ht="16.5">
      <c r="A8" s="37" t="s">
        <v>97</v>
      </c>
      <c r="B8" s="40" t="s">
        <v>119</v>
      </c>
      <c r="C8" s="32"/>
      <c r="D8" s="41"/>
      <c r="E8" s="37"/>
      <c r="F8" s="42"/>
    </row>
    <row r="9" spans="1:6" ht="16.5">
      <c r="A9" s="37" t="s">
        <v>98</v>
      </c>
      <c r="B9" s="40" t="s">
        <v>100</v>
      </c>
      <c r="C9" s="43"/>
      <c r="D9" s="44"/>
      <c r="E9" s="43"/>
      <c r="F9" s="45"/>
    </row>
    <row r="10" spans="1:6" ht="16.5">
      <c r="A10" s="37"/>
      <c r="B10" s="40"/>
      <c r="C10" s="43"/>
      <c r="D10" s="44"/>
      <c r="E10" s="43"/>
      <c r="F10" s="45"/>
    </row>
    <row r="11" spans="1:6" ht="16.5">
      <c r="A11" s="127" t="s">
        <v>99</v>
      </c>
      <c r="B11" s="127"/>
      <c r="C11" s="127"/>
      <c r="D11" s="127"/>
      <c r="E11" s="127"/>
      <c r="F11" s="127"/>
    </row>
    <row r="12" ht="6.75" customHeight="1"/>
    <row r="13" spans="1:6" ht="16.5">
      <c r="A13" s="119" t="s">
        <v>39</v>
      </c>
      <c r="B13" s="120" t="s">
        <v>0</v>
      </c>
      <c r="C13" s="119" t="s">
        <v>1</v>
      </c>
      <c r="D13" s="120" t="s">
        <v>40</v>
      </c>
      <c r="E13" s="121" t="s">
        <v>41</v>
      </c>
      <c r="F13" s="121"/>
    </row>
    <row r="14" spans="1:6" s="18" customFormat="1" ht="16.5">
      <c r="A14" s="119"/>
      <c r="B14" s="120"/>
      <c r="C14" s="119"/>
      <c r="D14" s="120"/>
      <c r="E14" s="119" t="s">
        <v>2</v>
      </c>
      <c r="F14" s="119" t="s">
        <v>42</v>
      </c>
    </row>
    <row r="15" spans="1:13" ht="16.5">
      <c r="A15" s="119"/>
      <c r="B15" s="120"/>
      <c r="C15" s="119"/>
      <c r="D15" s="120"/>
      <c r="E15" s="119"/>
      <c r="F15" s="119"/>
      <c r="H15" s="21"/>
      <c r="I15" s="74"/>
      <c r="J15" s="74"/>
      <c r="K15" s="74"/>
      <c r="L15" s="74"/>
      <c r="M15" s="74"/>
    </row>
    <row r="16" spans="1:13" ht="16.5">
      <c r="A16" s="8" t="s">
        <v>8</v>
      </c>
      <c r="B16" s="9" t="s">
        <v>54</v>
      </c>
      <c r="C16" s="3" t="s">
        <v>9</v>
      </c>
      <c r="D16" s="101"/>
      <c r="E16" s="103">
        <f>100*8*3*3</f>
        <v>7200</v>
      </c>
      <c r="F16" s="104">
        <f aca="true" t="shared" si="0" ref="F16:F28">E16*D16</f>
        <v>0</v>
      </c>
      <c r="H16" s="21"/>
      <c r="I16" s="74"/>
      <c r="J16" s="74"/>
      <c r="K16" s="74"/>
      <c r="L16" s="74"/>
      <c r="M16" s="74"/>
    </row>
    <row r="17" spans="1:13" ht="16.5">
      <c r="A17" s="8" t="s">
        <v>10</v>
      </c>
      <c r="B17" s="9" t="s">
        <v>11</v>
      </c>
      <c r="C17" s="3" t="s">
        <v>9</v>
      </c>
      <c r="D17" s="101"/>
      <c r="E17" s="103">
        <f>+E16*0.1</f>
        <v>720</v>
      </c>
      <c r="F17" s="104">
        <f t="shared" si="0"/>
        <v>0</v>
      </c>
      <c r="H17" s="75"/>
      <c r="I17" s="76"/>
      <c r="J17" s="77"/>
      <c r="K17" s="21"/>
      <c r="L17" s="78"/>
      <c r="M17" s="20"/>
    </row>
    <row r="18" spans="1:13" ht="33">
      <c r="A18" s="8" t="s">
        <v>12</v>
      </c>
      <c r="B18" s="9" t="s">
        <v>78</v>
      </c>
      <c r="C18" s="3" t="s">
        <v>13</v>
      </c>
      <c r="D18" s="101"/>
      <c r="E18" s="103">
        <f>+(E16+E17+E19)*12.4</f>
        <v>98505.6</v>
      </c>
      <c r="F18" s="104">
        <f t="shared" si="0"/>
        <v>0</v>
      </c>
      <c r="H18" s="75"/>
      <c r="I18" s="76"/>
      <c r="J18" s="77"/>
      <c r="K18" s="21"/>
      <c r="L18" s="78"/>
      <c r="M18" s="20"/>
    </row>
    <row r="19" spans="1:13" ht="33">
      <c r="A19" s="8" t="s">
        <v>17</v>
      </c>
      <c r="B19" s="9" t="s">
        <v>18</v>
      </c>
      <c r="C19" s="3" t="s">
        <v>9</v>
      </c>
      <c r="D19" s="101"/>
      <c r="E19" s="103">
        <f>100*0.6*0.4</f>
        <v>24</v>
      </c>
      <c r="F19" s="104">
        <f t="shared" si="0"/>
        <v>0</v>
      </c>
      <c r="H19" s="75"/>
      <c r="I19" s="76"/>
      <c r="J19" s="77"/>
      <c r="K19" s="21"/>
      <c r="L19" s="78"/>
      <c r="M19" s="20"/>
    </row>
    <row r="20" spans="1:13" ht="33">
      <c r="A20" s="8" t="s">
        <v>19</v>
      </c>
      <c r="B20" s="9" t="s">
        <v>20</v>
      </c>
      <c r="C20" s="3" t="s">
        <v>9</v>
      </c>
      <c r="D20" s="101"/>
      <c r="E20" s="103">
        <f>0.1*100</f>
        <v>10</v>
      </c>
      <c r="F20" s="104">
        <f t="shared" si="0"/>
        <v>0</v>
      </c>
      <c r="H20" s="75"/>
      <c r="I20" s="76"/>
      <c r="J20" s="77"/>
      <c r="K20" s="21"/>
      <c r="L20" s="78"/>
      <c r="M20" s="20"/>
    </row>
    <row r="21" spans="1:13" ht="33">
      <c r="A21" s="8" t="s">
        <v>21</v>
      </c>
      <c r="B21" s="9" t="s">
        <v>22</v>
      </c>
      <c r="C21" s="3" t="s">
        <v>9</v>
      </c>
      <c r="D21" s="101"/>
      <c r="E21" s="103">
        <f>187.79*2.5*4</f>
        <v>1877.8999999999999</v>
      </c>
      <c r="F21" s="104">
        <f t="shared" si="0"/>
        <v>0</v>
      </c>
      <c r="H21" s="75"/>
      <c r="I21" s="79"/>
      <c r="J21" s="77"/>
      <c r="K21" s="21"/>
      <c r="L21" s="78"/>
      <c r="M21" s="20"/>
    </row>
    <row r="22" spans="1:13" ht="16.5">
      <c r="A22" s="8" t="s">
        <v>23</v>
      </c>
      <c r="B22" s="10" t="s">
        <v>24</v>
      </c>
      <c r="C22" s="3" t="s">
        <v>9</v>
      </c>
      <c r="D22" s="101"/>
      <c r="E22" s="103">
        <v>150</v>
      </c>
      <c r="F22" s="104">
        <f t="shared" si="0"/>
        <v>0</v>
      </c>
      <c r="H22" s="75"/>
      <c r="I22" s="76"/>
      <c r="J22" s="77"/>
      <c r="K22" s="21"/>
      <c r="L22" s="78"/>
      <c r="M22" s="20"/>
    </row>
    <row r="23" spans="1:13" ht="16.5">
      <c r="A23" s="8" t="s">
        <v>25</v>
      </c>
      <c r="B23" s="9" t="s">
        <v>26</v>
      </c>
      <c r="C23" s="3" t="s">
        <v>27</v>
      </c>
      <c r="D23" s="101"/>
      <c r="E23" s="103">
        <v>80000</v>
      </c>
      <c r="F23" s="104">
        <f t="shared" si="0"/>
        <v>0</v>
      </c>
      <c r="H23" s="75"/>
      <c r="I23" s="80"/>
      <c r="J23" s="77"/>
      <c r="K23" s="21"/>
      <c r="L23" s="78"/>
      <c r="M23" s="20"/>
    </row>
    <row r="24" spans="1:13" ht="16.5">
      <c r="A24" s="8" t="s">
        <v>28</v>
      </c>
      <c r="B24" s="10" t="s">
        <v>29</v>
      </c>
      <c r="C24" s="3" t="s">
        <v>9</v>
      </c>
      <c r="D24" s="101"/>
      <c r="E24" s="103">
        <f>100*1.5*0.5</f>
        <v>75</v>
      </c>
      <c r="F24" s="104">
        <f t="shared" si="0"/>
        <v>0</v>
      </c>
      <c r="H24" s="75"/>
      <c r="I24" s="76"/>
      <c r="J24" s="77"/>
      <c r="K24" s="21"/>
      <c r="L24" s="78"/>
      <c r="M24" s="20"/>
    </row>
    <row r="25" spans="1:13" ht="16.5">
      <c r="A25" s="2" t="s">
        <v>47</v>
      </c>
      <c r="B25" s="12" t="s">
        <v>83</v>
      </c>
      <c r="C25" s="2" t="s">
        <v>38</v>
      </c>
      <c r="D25" s="105"/>
      <c r="E25" s="106">
        <f>+E24*12.4</f>
        <v>930</v>
      </c>
      <c r="F25" s="105">
        <f>+ROUND(E25*D25,2)</f>
        <v>0</v>
      </c>
      <c r="H25" s="75"/>
      <c r="I25" s="76"/>
      <c r="J25" s="77"/>
      <c r="K25" s="21"/>
      <c r="L25" s="78"/>
      <c r="M25" s="20"/>
    </row>
    <row r="26" spans="1:13" ht="16.5">
      <c r="A26" s="8" t="s">
        <v>30</v>
      </c>
      <c r="B26" s="10" t="s">
        <v>31</v>
      </c>
      <c r="C26" s="3" t="s">
        <v>16</v>
      </c>
      <c r="D26" s="101"/>
      <c r="E26" s="103">
        <f>4.3*100</f>
        <v>430</v>
      </c>
      <c r="F26" s="104">
        <f t="shared" si="0"/>
        <v>0</v>
      </c>
      <c r="H26" s="75"/>
      <c r="I26" s="80"/>
      <c r="J26" s="77"/>
      <c r="K26" s="21"/>
      <c r="L26" s="78"/>
      <c r="M26" s="20"/>
    </row>
    <row r="27" spans="1:7" ht="16.5">
      <c r="A27" s="2" t="s">
        <v>56</v>
      </c>
      <c r="B27" s="12" t="s">
        <v>57</v>
      </c>
      <c r="C27" s="2" t="s">
        <v>33</v>
      </c>
      <c r="D27" s="101"/>
      <c r="E27" s="106">
        <v>100</v>
      </c>
      <c r="F27" s="105">
        <f>+ROUND(E27*D27,2)</f>
        <v>0</v>
      </c>
      <c r="G27" s="21"/>
    </row>
    <row r="28" spans="1:13" ht="33">
      <c r="A28" s="8" t="s">
        <v>19</v>
      </c>
      <c r="B28" s="10" t="s">
        <v>32</v>
      </c>
      <c r="C28" s="3" t="s">
        <v>9</v>
      </c>
      <c r="D28" s="101"/>
      <c r="E28" s="103">
        <f>100*1.2*0.4</f>
        <v>48</v>
      </c>
      <c r="F28" s="104">
        <f t="shared" si="0"/>
        <v>0</v>
      </c>
      <c r="H28" s="75"/>
      <c r="I28" s="80"/>
      <c r="J28" s="77"/>
      <c r="K28" s="21"/>
      <c r="L28" s="78"/>
      <c r="M28" s="20"/>
    </row>
    <row r="29" spans="5:13" ht="16.5">
      <c r="E29" s="19" t="s">
        <v>53</v>
      </c>
      <c r="F29" s="17">
        <v>607260.5399999998</v>
      </c>
      <c r="H29" s="75"/>
      <c r="I29" s="80"/>
      <c r="J29" s="77"/>
      <c r="K29" s="21"/>
      <c r="L29" s="78"/>
      <c r="M29" s="20"/>
    </row>
    <row r="30" spans="8:13" ht="16.5">
      <c r="H30" s="21"/>
      <c r="I30" s="21"/>
      <c r="J30" s="21"/>
      <c r="K30" s="21"/>
      <c r="L30" s="21"/>
      <c r="M30" s="20"/>
    </row>
    <row r="31" spans="1:6" ht="16.5">
      <c r="A31" s="73"/>
      <c r="B31" s="1"/>
      <c r="F31" s="5"/>
    </row>
    <row r="32" ht="16.5">
      <c r="F32" s="5"/>
    </row>
  </sheetData>
  <sheetProtection/>
  <mergeCells count="13">
    <mergeCell ref="A1:F1"/>
    <mergeCell ref="A2:F2"/>
    <mergeCell ref="A3:F3"/>
    <mergeCell ref="B4:F4"/>
    <mergeCell ref="B5:E5"/>
    <mergeCell ref="A11:F11"/>
    <mergeCell ref="A13:A15"/>
    <mergeCell ref="B13:B15"/>
    <mergeCell ref="C13:C15"/>
    <mergeCell ref="D13:D15"/>
    <mergeCell ref="E13:F13"/>
    <mergeCell ref="E14:E15"/>
    <mergeCell ref="F14:F1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view="pageBreakPreview" zoomScale="80" zoomScaleSheetLayoutView="80" zoomScalePageLayoutView="0" workbookViewId="0" topLeftCell="A4">
      <selection activeCell="E21" sqref="E21"/>
    </sheetView>
  </sheetViews>
  <sheetFormatPr defaultColWidth="11.421875" defaultRowHeight="15"/>
  <cols>
    <col min="1" max="1" width="18.7109375" style="1" customWidth="1"/>
    <col min="2" max="2" width="40.7109375" style="14" customWidth="1"/>
    <col min="3" max="16384" width="11.421875" style="1" customWidth="1"/>
  </cols>
  <sheetData>
    <row r="1" spans="1:6" ht="16.5">
      <c r="A1" s="122" t="s">
        <v>91</v>
      </c>
      <c r="B1" s="122"/>
      <c r="C1" s="122"/>
      <c r="D1" s="122"/>
      <c r="E1" s="122"/>
      <c r="F1" s="122"/>
    </row>
    <row r="2" spans="1:6" ht="16.5">
      <c r="A2" s="123" t="s">
        <v>92</v>
      </c>
      <c r="B2" s="123"/>
      <c r="C2" s="123"/>
      <c r="D2" s="123"/>
      <c r="E2" s="123"/>
      <c r="F2" s="123"/>
    </row>
    <row r="3" spans="1:6" ht="16.5">
      <c r="A3" s="124" t="s">
        <v>102</v>
      </c>
      <c r="B3" s="124"/>
      <c r="C3" s="124"/>
      <c r="D3" s="124"/>
      <c r="E3" s="124"/>
      <c r="F3" s="124"/>
    </row>
    <row r="4" spans="1:6" ht="47.25" customHeight="1">
      <c r="A4" s="37" t="s">
        <v>93</v>
      </c>
      <c r="B4" s="125" t="s">
        <v>139</v>
      </c>
      <c r="C4" s="125"/>
      <c r="D4" s="125"/>
      <c r="E4" s="125"/>
      <c r="F4" s="125"/>
    </row>
    <row r="5" spans="1:6" ht="16.5">
      <c r="A5" s="37" t="s">
        <v>94</v>
      </c>
      <c r="B5" s="126" t="s">
        <v>110</v>
      </c>
      <c r="C5" s="126"/>
      <c r="D5" s="126"/>
      <c r="E5" s="126"/>
      <c r="F5" s="39"/>
    </row>
    <row r="6" spans="1:6" ht="16.5">
      <c r="A6" s="37" t="s">
        <v>95</v>
      </c>
      <c r="B6" s="32" t="s">
        <v>114</v>
      </c>
      <c r="C6" s="38"/>
      <c r="D6" s="39"/>
      <c r="E6" s="37"/>
      <c r="F6" s="39"/>
    </row>
    <row r="7" spans="1:6" ht="16.5">
      <c r="A7" s="37" t="s">
        <v>96</v>
      </c>
      <c r="B7" s="40" t="s">
        <v>116</v>
      </c>
      <c r="C7" s="32"/>
      <c r="D7" s="41"/>
      <c r="E7" s="37"/>
      <c r="F7" s="39"/>
    </row>
    <row r="8" spans="1:6" ht="16.5">
      <c r="A8" s="37" t="s">
        <v>97</v>
      </c>
      <c r="B8" s="40" t="s">
        <v>115</v>
      </c>
      <c r="C8" s="32"/>
      <c r="D8" s="41"/>
      <c r="E8" s="37"/>
      <c r="F8" s="42"/>
    </row>
    <row r="9" spans="1:6" ht="16.5">
      <c r="A9" s="37" t="s">
        <v>98</v>
      </c>
      <c r="B9" s="40" t="s">
        <v>100</v>
      </c>
      <c r="C9" s="43"/>
      <c r="D9" s="44"/>
      <c r="E9" s="43"/>
      <c r="F9" s="45"/>
    </row>
    <row r="10" spans="1:6" ht="16.5">
      <c r="A10" s="37"/>
      <c r="B10" s="40"/>
      <c r="C10" s="43"/>
      <c r="D10" s="44"/>
      <c r="E10" s="43"/>
      <c r="F10" s="45"/>
    </row>
    <row r="11" spans="1:6" ht="16.5">
      <c r="A11" s="127" t="s">
        <v>99</v>
      </c>
      <c r="B11" s="127"/>
      <c r="C11" s="127"/>
      <c r="D11" s="127"/>
      <c r="E11" s="127"/>
      <c r="F11" s="127"/>
    </row>
    <row r="12" ht="8.25" customHeight="1"/>
    <row r="13" spans="1:6" ht="16.5">
      <c r="A13" s="119" t="s">
        <v>39</v>
      </c>
      <c r="B13" s="120" t="s">
        <v>0</v>
      </c>
      <c r="C13" s="119" t="s">
        <v>1</v>
      </c>
      <c r="D13" s="120" t="s">
        <v>40</v>
      </c>
      <c r="E13" s="121" t="s">
        <v>41</v>
      </c>
      <c r="F13" s="121"/>
    </row>
    <row r="14" spans="1:6" s="18" customFormat="1" ht="16.5">
      <c r="A14" s="119"/>
      <c r="B14" s="120"/>
      <c r="C14" s="119"/>
      <c r="D14" s="120"/>
      <c r="E14" s="119" t="s">
        <v>2</v>
      </c>
      <c r="F14" s="119" t="s">
        <v>42</v>
      </c>
    </row>
    <row r="15" spans="1:13" ht="16.5">
      <c r="A15" s="119"/>
      <c r="B15" s="120"/>
      <c r="C15" s="119"/>
      <c r="D15" s="120"/>
      <c r="E15" s="119"/>
      <c r="F15" s="119"/>
      <c r="H15" s="21"/>
      <c r="I15" s="74"/>
      <c r="J15" s="74"/>
      <c r="K15" s="74"/>
      <c r="L15" s="74"/>
      <c r="M15" s="74"/>
    </row>
    <row r="16" spans="1:13" ht="16.5">
      <c r="A16" s="8" t="s">
        <v>8</v>
      </c>
      <c r="B16" s="9" t="s">
        <v>54</v>
      </c>
      <c r="C16" s="3" t="s">
        <v>9</v>
      </c>
      <c r="D16" s="101"/>
      <c r="E16" s="103">
        <f>150*8*3*3</f>
        <v>10800</v>
      </c>
      <c r="F16" s="105">
        <f aca="true" t="shared" si="0" ref="F16:F26">+ROUND(E16*D16,2)</f>
        <v>0</v>
      </c>
      <c r="H16" s="21"/>
      <c r="I16" s="74"/>
      <c r="J16" s="74"/>
      <c r="K16" s="74"/>
      <c r="L16" s="74"/>
      <c r="M16" s="74"/>
    </row>
    <row r="17" spans="1:13" ht="16.5">
      <c r="A17" s="8" t="s">
        <v>10</v>
      </c>
      <c r="B17" s="9" t="s">
        <v>11</v>
      </c>
      <c r="C17" s="3" t="s">
        <v>9</v>
      </c>
      <c r="D17" s="101"/>
      <c r="E17" s="103">
        <f>+E16*0.1</f>
        <v>1080</v>
      </c>
      <c r="F17" s="105">
        <f t="shared" si="0"/>
        <v>0</v>
      </c>
      <c r="H17" s="75"/>
      <c r="I17" s="76"/>
      <c r="J17" s="77"/>
      <c r="K17" s="21"/>
      <c r="L17" s="78"/>
      <c r="M17" s="20"/>
    </row>
    <row r="18" spans="1:13" ht="33">
      <c r="A18" s="8" t="s">
        <v>12</v>
      </c>
      <c r="B18" s="9" t="s">
        <v>77</v>
      </c>
      <c r="C18" s="3" t="s">
        <v>13</v>
      </c>
      <c r="D18" s="101"/>
      <c r="E18" s="103">
        <f>+(E16+E17+E19)*6.06</f>
        <v>72210.95999999999</v>
      </c>
      <c r="F18" s="105">
        <f t="shared" si="0"/>
        <v>0</v>
      </c>
      <c r="H18" s="75"/>
      <c r="I18" s="76"/>
      <c r="J18" s="77"/>
      <c r="K18" s="21"/>
      <c r="L18" s="78"/>
      <c r="M18" s="20"/>
    </row>
    <row r="19" spans="1:13" ht="33">
      <c r="A19" s="8" t="s">
        <v>17</v>
      </c>
      <c r="B19" s="9" t="s">
        <v>18</v>
      </c>
      <c r="C19" s="3" t="s">
        <v>9</v>
      </c>
      <c r="D19" s="101"/>
      <c r="E19" s="103">
        <f>150*0.6*0.4</f>
        <v>36</v>
      </c>
      <c r="F19" s="105">
        <f t="shared" si="0"/>
        <v>0</v>
      </c>
      <c r="H19" s="75"/>
      <c r="I19" s="76"/>
      <c r="J19" s="77"/>
      <c r="K19" s="21"/>
      <c r="L19" s="78"/>
      <c r="M19" s="20"/>
    </row>
    <row r="20" spans="1:13" ht="33">
      <c r="A20" s="8" t="s">
        <v>19</v>
      </c>
      <c r="B20" s="9" t="s">
        <v>20</v>
      </c>
      <c r="C20" s="3" t="s">
        <v>9</v>
      </c>
      <c r="D20" s="101"/>
      <c r="E20" s="103">
        <f>0.1*150</f>
        <v>15</v>
      </c>
      <c r="F20" s="105">
        <f t="shared" si="0"/>
        <v>0</v>
      </c>
      <c r="H20" s="75"/>
      <c r="I20" s="76"/>
      <c r="J20" s="77"/>
      <c r="K20" s="21"/>
      <c r="L20" s="78"/>
      <c r="M20" s="20"/>
    </row>
    <row r="21" spans="1:13" ht="33">
      <c r="A21" s="8" t="s">
        <v>21</v>
      </c>
      <c r="B21" s="9" t="s">
        <v>22</v>
      </c>
      <c r="C21" s="3" t="s">
        <v>9</v>
      </c>
      <c r="D21" s="101"/>
      <c r="E21" s="103">
        <f>187.79*2.5*4</f>
        <v>1877.8999999999999</v>
      </c>
      <c r="F21" s="105">
        <f t="shared" si="0"/>
        <v>0</v>
      </c>
      <c r="H21" s="75"/>
      <c r="I21" s="79"/>
      <c r="J21" s="77"/>
      <c r="K21" s="21"/>
      <c r="L21" s="78"/>
      <c r="M21" s="20"/>
    </row>
    <row r="22" spans="1:13" ht="16.5">
      <c r="A22" s="8" t="s">
        <v>23</v>
      </c>
      <c r="B22" s="10" t="s">
        <v>24</v>
      </c>
      <c r="C22" s="3" t="s">
        <v>9</v>
      </c>
      <c r="D22" s="101"/>
      <c r="E22" s="103">
        <v>150</v>
      </c>
      <c r="F22" s="105">
        <f t="shared" si="0"/>
        <v>0</v>
      </c>
      <c r="H22" s="75"/>
      <c r="I22" s="76"/>
      <c r="J22" s="77"/>
      <c r="K22" s="21"/>
      <c r="L22" s="78"/>
      <c r="M22" s="20"/>
    </row>
    <row r="23" spans="1:13" ht="16.5">
      <c r="A23" s="8" t="s">
        <v>25</v>
      </c>
      <c r="B23" s="9" t="s">
        <v>26</v>
      </c>
      <c r="C23" s="3" t="s">
        <v>27</v>
      </c>
      <c r="D23" s="101"/>
      <c r="E23" s="103">
        <v>80000</v>
      </c>
      <c r="F23" s="105">
        <f t="shared" si="0"/>
        <v>0</v>
      </c>
      <c r="H23" s="75"/>
      <c r="I23" s="80"/>
      <c r="J23" s="77"/>
      <c r="K23" s="21"/>
      <c r="L23" s="78"/>
      <c r="M23" s="20"/>
    </row>
    <row r="24" spans="1:13" ht="16.5">
      <c r="A24" s="8" t="s">
        <v>28</v>
      </c>
      <c r="B24" s="10" t="s">
        <v>29</v>
      </c>
      <c r="C24" s="3" t="s">
        <v>9</v>
      </c>
      <c r="D24" s="101"/>
      <c r="E24" s="103">
        <f>150*1.5*0.5</f>
        <v>112.5</v>
      </c>
      <c r="F24" s="105">
        <f t="shared" si="0"/>
        <v>0</v>
      </c>
      <c r="H24" s="75"/>
      <c r="I24" s="76"/>
      <c r="J24" s="77"/>
      <c r="K24" s="21"/>
      <c r="L24" s="78"/>
      <c r="M24" s="20"/>
    </row>
    <row r="25" spans="1:7" ht="16.5">
      <c r="A25" s="2" t="s">
        <v>47</v>
      </c>
      <c r="B25" s="12" t="s">
        <v>82</v>
      </c>
      <c r="C25" s="2" t="s">
        <v>38</v>
      </c>
      <c r="D25" s="105"/>
      <c r="E25" s="106">
        <f>+E24*6.06</f>
        <v>681.75</v>
      </c>
      <c r="F25" s="105">
        <f t="shared" si="0"/>
        <v>0</v>
      </c>
      <c r="G25" s="6"/>
    </row>
    <row r="26" spans="1:13" ht="16.5">
      <c r="A26" s="8" t="s">
        <v>30</v>
      </c>
      <c r="B26" s="10" t="s">
        <v>31</v>
      </c>
      <c r="C26" s="3" t="s">
        <v>16</v>
      </c>
      <c r="D26" s="101"/>
      <c r="E26" s="103">
        <v>645</v>
      </c>
      <c r="F26" s="105">
        <f t="shared" si="0"/>
        <v>0</v>
      </c>
      <c r="H26" s="75"/>
      <c r="I26" s="80"/>
      <c r="J26" s="77"/>
      <c r="K26" s="21"/>
      <c r="L26" s="78"/>
      <c r="M26" s="20"/>
    </row>
    <row r="27" spans="1:7" ht="16.5">
      <c r="A27" s="2" t="s">
        <v>56</v>
      </c>
      <c r="B27" s="12" t="s">
        <v>57</v>
      </c>
      <c r="C27" s="2" t="s">
        <v>33</v>
      </c>
      <c r="D27" s="101"/>
      <c r="E27" s="106">
        <v>150</v>
      </c>
      <c r="F27" s="105">
        <f>+ROUND(E27*D27,2)</f>
        <v>0</v>
      </c>
      <c r="G27" s="21"/>
    </row>
    <row r="28" spans="1:13" ht="33">
      <c r="A28" s="8" t="s">
        <v>19</v>
      </c>
      <c r="B28" s="10" t="s">
        <v>32</v>
      </c>
      <c r="C28" s="3" t="s">
        <v>9</v>
      </c>
      <c r="D28" s="107"/>
      <c r="E28" s="108">
        <f>150*1.2*0.4</f>
        <v>72</v>
      </c>
      <c r="F28" s="105">
        <f>+ROUND(E28*D28,2)</f>
        <v>0</v>
      </c>
      <c r="H28" s="75"/>
      <c r="I28" s="80"/>
      <c r="J28" s="77"/>
      <c r="K28" s="21"/>
      <c r="L28" s="78"/>
      <c r="M28" s="20"/>
    </row>
    <row r="29" spans="5:13" ht="16.5">
      <c r="E29" s="19" t="s">
        <v>53</v>
      </c>
      <c r="F29" s="17">
        <v>617620.8238</v>
      </c>
      <c r="H29" s="75"/>
      <c r="I29" s="80"/>
      <c r="J29" s="77"/>
      <c r="K29" s="21"/>
      <c r="L29" s="78"/>
      <c r="M29" s="20"/>
    </row>
    <row r="30" spans="8:13" ht="16.5">
      <c r="H30" s="21"/>
      <c r="I30" s="21"/>
      <c r="J30" s="21"/>
      <c r="K30" s="21"/>
      <c r="L30" s="21"/>
      <c r="M30" s="20"/>
    </row>
    <row r="31" spans="1:6" ht="16.5">
      <c r="A31" s="73"/>
      <c r="B31" s="1"/>
      <c r="F31" s="5"/>
    </row>
    <row r="32" ht="16.5">
      <c r="F32" s="5"/>
    </row>
  </sheetData>
  <sheetProtection/>
  <mergeCells count="13">
    <mergeCell ref="A1:F1"/>
    <mergeCell ref="A2:F2"/>
    <mergeCell ref="A3:F3"/>
    <mergeCell ref="B4:F4"/>
    <mergeCell ref="B5:E5"/>
    <mergeCell ref="A11:F11"/>
    <mergeCell ref="A13:A15"/>
    <mergeCell ref="B13:B15"/>
    <mergeCell ref="C13:C15"/>
    <mergeCell ref="D13:D15"/>
    <mergeCell ref="E13:F13"/>
    <mergeCell ref="E14:E15"/>
    <mergeCell ref="F14:F1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view="pageBreakPreview" zoomScale="90" zoomScaleSheetLayoutView="90" zoomScalePageLayoutView="0" workbookViewId="0" topLeftCell="A1">
      <selection activeCell="F19" sqref="F16:F19"/>
    </sheetView>
  </sheetViews>
  <sheetFormatPr defaultColWidth="15.140625" defaultRowHeight="15"/>
  <cols>
    <col min="1" max="1" width="15.140625" style="27" customWidth="1"/>
    <col min="2" max="2" width="31.57421875" style="18" bestFit="1" customWidth="1"/>
    <col min="3" max="16384" width="15.140625" style="27" customWidth="1"/>
  </cols>
  <sheetData>
    <row r="1" spans="1:6" ht="16.5">
      <c r="A1" s="128" t="s">
        <v>91</v>
      </c>
      <c r="B1" s="128"/>
      <c r="C1" s="128"/>
      <c r="D1" s="128"/>
      <c r="E1" s="128"/>
      <c r="F1" s="128"/>
    </row>
    <row r="2" spans="1:6" ht="16.5">
      <c r="A2" s="129" t="s">
        <v>92</v>
      </c>
      <c r="B2" s="129"/>
      <c r="C2" s="129"/>
      <c r="D2" s="129"/>
      <c r="E2" s="129"/>
      <c r="F2" s="129"/>
    </row>
    <row r="3" spans="1:6" ht="16.5">
      <c r="A3" s="130" t="s">
        <v>102</v>
      </c>
      <c r="B3" s="130"/>
      <c r="C3" s="130"/>
      <c r="D3" s="130"/>
      <c r="E3" s="130"/>
      <c r="F3" s="130"/>
    </row>
    <row r="4" spans="1:6" ht="50.25" customHeight="1">
      <c r="A4" s="37" t="s">
        <v>93</v>
      </c>
      <c r="B4" s="125" t="s">
        <v>139</v>
      </c>
      <c r="C4" s="125"/>
      <c r="D4" s="125"/>
      <c r="E4" s="125"/>
      <c r="F4" s="125"/>
    </row>
    <row r="5" spans="1:6" ht="16.5">
      <c r="A5" s="37" t="s">
        <v>94</v>
      </c>
      <c r="B5" s="126" t="s">
        <v>110</v>
      </c>
      <c r="C5" s="126"/>
      <c r="D5" s="126"/>
      <c r="E5" s="126"/>
      <c r="F5" s="39"/>
    </row>
    <row r="6" spans="1:6" ht="16.5">
      <c r="A6" s="37" t="s">
        <v>95</v>
      </c>
      <c r="B6" s="67" t="s">
        <v>112</v>
      </c>
      <c r="C6" s="38"/>
      <c r="D6" s="39"/>
      <c r="E6" s="37"/>
      <c r="F6" s="39"/>
    </row>
    <row r="7" spans="1:6" ht="16.5">
      <c r="A7" s="37" t="s">
        <v>96</v>
      </c>
      <c r="B7" s="40" t="s">
        <v>113</v>
      </c>
      <c r="C7" s="67"/>
      <c r="D7" s="68"/>
      <c r="E7" s="37"/>
      <c r="F7" s="39"/>
    </row>
    <row r="8" spans="1:6" ht="16.5">
      <c r="A8" s="37" t="s">
        <v>97</v>
      </c>
      <c r="B8" s="40" t="s">
        <v>111</v>
      </c>
      <c r="C8" s="67"/>
      <c r="D8" s="68"/>
      <c r="E8" s="37"/>
      <c r="F8" s="42"/>
    </row>
    <row r="9" spans="1:6" ht="16.5">
      <c r="A9" s="37" t="s">
        <v>98</v>
      </c>
      <c r="B9" s="40" t="s">
        <v>100</v>
      </c>
      <c r="C9" s="43"/>
      <c r="D9" s="44"/>
      <c r="E9" s="43"/>
      <c r="F9" s="45"/>
    </row>
    <row r="10" spans="1:6" ht="16.5">
      <c r="A10" s="37"/>
      <c r="B10" s="40"/>
      <c r="C10" s="43"/>
      <c r="D10" s="44"/>
      <c r="E10" s="43"/>
      <c r="F10" s="45"/>
    </row>
    <row r="11" spans="1:6" ht="16.5">
      <c r="A11" s="131" t="s">
        <v>99</v>
      </c>
      <c r="B11" s="131"/>
      <c r="C11" s="131"/>
      <c r="D11" s="131"/>
      <c r="E11" s="131"/>
      <c r="F11" s="131"/>
    </row>
    <row r="12" ht="9.75" customHeight="1"/>
    <row r="13" spans="1:6" ht="16.5">
      <c r="A13" s="119" t="s">
        <v>39</v>
      </c>
      <c r="B13" s="120" t="s">
        <v>0</v>
      </c>
      <c r="C13" s="119" t="s">
        <v>1</v>
      </c>
      <c r="D13" s="120" t="s">
        <v>40</v>
      </c>
      <c r="E13" s="119" t="s">
        <v>41</v>
      </c>
      <c r="F13" s="119"/>
    </row>
    <row r="14" spans="1:6" s="18" customFormat="1" ht="16.5">
      <c r="A14" s="119"/>
      <c r="B14" s="120"/>
      <c r="C14" s="119"/>
      <c r="D14" s="120"/>
      <c r="E14" s="119" t="s">
        <v>2</v>
      </c>
      <c r="F14" s="119" t="s">
        <v>42</v>
      </c>
    </row>
    <row r="15" spans="1:6" ht="16.5">
      <c r="A15" s="119"/>
      <c r="B15" s="120"/>
      <c r="C15" s="119"/>
      <c r="D15" s="120"/>
      <c r="E15" s="119"/>
      <c r="F15" s="119"/>
    </row>
    <row r="16" spans="1:10" ht="33">
      <c r="A16" s="25" t="s">
        <v>50</v>
      </c>
      <c r="B16" s="26" t="s">
        <v>7</v>
      </c>
      <c r="C16" s="25" t="s">
        <v>3</v>
      </c>
      <c r="D16" s="102"/>
      <c r="E16" s="102">
        <f>3.32*80</f>
        <v>265.59999999999997</v>
      </c>
      <c r="F16" s="97">
        <f>+ROUND(E16*D16,2)</f>
        <v>0</v>
      </c>
      <c r="H16" s="69"/>
      <c r="I16" s="69"/>
      <c r="J16" s="69"/>
    </row>
    <row r="17" spans="1:10" ht="16.5">
      <c r="A17" s="25" t="s">
        <v>51</v>
      </c>
      <c r="B17" s="26" t="s">
        <v>5</v>
      </c>
      <c r="C17" s="25" t="s">
        <v>4</v>
      </c>
      <c r="D17" s="102"/>
      <c r="E17" s="102">
        <f>+E16*80</f>
        <v>21247.999999999996</v>
      </c>
      <c r="F17" s="97">
        <f>+ROUND(E17*D17,2)</f>
        <v>0</v>
      </c>
      <c r="H17" s="69"/>
      <c r="I17" s="69"/>
      <c r="J17" s="69"/>
    </row>
    <row r="18" spans="1:10" ht="16.5">
      <c r="A18" s="25" t="s">
        <v>52</v>
      </c>
      <c r="B18" s="26" t="s">
        <v>59</v>
      </c>
      <c r="C18" s="25" t="s">
        <v>3</v>
      </c>
      <c r="D18" s="102"/>
      <c r="E18" s="102">
        <f>100*11*0.3</f>
        <v>330</v>
      </c>
      <c r="F18" s="97">
        <f>+ROUND(E18*D18,2)</f>
        <v>0</v>
      </c>
      <c r="H18" s="69"/>
      <c r="I18" s="69"/>
      <c r="J18" s="69"/>
    </row>
    <row r="19" spans="1:10" ht="33">
      <c r="A19" s="25" t="s">
        <v>47</v>
      </c>
      <c r="B19" s="26" t="s">
        <v>76</v>
      </c>
      <c r="C19" s="25" t="s">
        <v>38</v>
      </c>
      <c r="D19" s="97"/>
      <c r="E19" s="98">
        <f>+E18*6.06</f>
        <v>1999.8</v>
      </c>
      <c r="F19" s="97">
        <f>+ROUND(E19*D19,2)</f>
        <v>0</v>
      </c>
      <c r="H19" s="69"/>
      <c r="I19" s="69"/>
      <c r="J19" s="69"/>
    </row>
    <row r="20" spans="1:10" ht="49.5">
      <c r="A20" s="28" t="s">
        <v>74</v>
      </c>
      <c r="B20" s="29" t="s">
        <v>75</v>
      </c>
      <c r="C20" s="25" t="s">
        <v>9</v>
      </c>
      <c r="D20" s="97"/>
      <c r="E20" s="98">
        <v>15</v>
      </c>
      <c r="F20" s="97">
        <f>+ROUND(E20*D20,2)</f>
        <v>0</v>
      </c>
      <c r="H20" s="69"/>
      <c r="I20" s="69"/>
      <c r="J20" s="69"/>
    </row>
    <row r="21" spans="4:10" ht="16.5">
      <c r="D21" s="70"/>
      <c r="E21" s="71" t="s">
        <v>6</v>
      </c>
      <c r="F21" s="72">
        <v>100860.84399999998</v>
      </c>
      <c r="H21" s="69"/>
      <c r="I21" s="69"/>
      <c r="J21" s="69"/>
    </row>
    <row r="24" spans="1:2" ht="16.5">
      <c r="A24" s="73"/>
      <c r="B24" s="27"/>
    </row>
  </sheetData>
  <sheetProtection/>
  <mergeCells count="13">
    <mergeCell ref="A1:F1"/>
    <mergeCell ref="A2:F2"/>
    <mergeCell ref="A3:F3"/>
    <mergeCell ref="B4:F4"/>
    <mergeCell ref="B5:E5"/>
    <mergeCell ref="A11:F11"/>
    <mergeCell ref="A13:A15"/>
    <mergeCell ref="B13:B15"/>
    <mergeCell ref="C13:C15"/>
    <mergeCell ref="D13:D15"/>
    <mergeCell ref="E13:F13"/>
    <mergeCell ref="E14:E15"/>
    <mergeCell ref="F14:F1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view="pageBreakPreview" zoomScale="80" zoomScaleSheetLayoutView="80" zoomScalePageLayoutView="0" workbookViewId="0" topLeftCell="A4">
      <selection activeCell="F16" sqref="F16:F29"/>
    </sheetView>
  </sheetViews>
  <sheetFormatPr defaultColWidth="11.421875" defaultRowHeight="15"/>
  <cols>
    <col min="1" max="1" width="16.28125" style="33" customWidth="1"/>
    <col min="2" max="2" width="37.00390625" style="14" customWidth="1"/>
    <col min="3" max="3" width="11.421875" style="33" customWidth="1"/>
    <col min="4" max="4" width="11.57421875" style="33" bestFit="1" customWidth="1"/>
    <col min="5" max="5" width="14.28125" style="33" customWidth="1"/>
    <col min="6" max="6" width="20.28125" style="33" bestFit="1" customWidth="1"/>
    <col min="7" max="16384" width="11.421875" style="33" customWidth="1"/>
  </cols>
  <sheetData>
    <row r="1" spans="1:6" ht="16.5">
      <c r="A1" s="122" t="s">
        <v>91</v>
      </c>
      <c r="B1" s="122"/>
      <c r="C1" s="122"/>
      <c r="D1" s="122"/>
      <c r="E1" s="122"/>
      <c r="F1" s="122"/>
    </row>
    <row r="2" spans="1:6" ht="16.5">
      <c r="A2" s="123" t="s">
        <v>92</v>
      </c>
      <c r="B2" s="123"/>
      <c r="C2" s="123"/>
      <c r="D2" s="123"/>
      <c r="E2" s="123"/>
      <c r="F2" s="123"/>
    </row>
    <row r="3" spans="1:6" ht="16.5">
      <c r="A3" s="124" t="s">
        <v>102</v>
      </c>
      <c r="B3" s="124"/>
      <c r="C3" s="124"/>
      <c r="D3" s="124"/>
      <c r="E3" s="124"/>
      <c r="F3" s="124"/>
    </row>
    <row r="4" spans="1:6" ht="56.25" customHeight="1">
      <c r="A4" s="49" t="s">
        <v>93</v>
      </c>
      <c r="B4" s="116" t="s">
        <v>139</v>
      </c>
      <c r="C4" s="116"/>
      <c r="D4" s="116"/>
      <c r="E4" s="116"/>
      <c r="F4" s="116"/>
    </row>
    <row r="5" spans="1:6" ht="16.5">
      <c r="A5" s="49" t="s">
        <v>94</v>
      </c>
      <c r="B5" s="117" t="s">
        <v>103</v>
      </c>
      <c r="C5" s="117"/>
      <c r="D5" s="117"/>
      <c r="E5" s="117"/>
      <c r="F5" s="51"/>
    </row>
    <row r="6" spans="1:6" ht="16.5">
      <c r="A6" s="49" t="s">
        <v>95</v>
      </c>
      <c r="B6" s="52" t="s">
        <v>107</v>
      </c>
      <c r="C6" s="50"/>
      <c r="D6" s="51"/>
      <c r="E6" s="49"/>
      <c r="F6" s="51"/>
    </row>
    <row r="7" spans="1:6" ht="16.5">
      <c r="A7" s="49" t="s">
        <v>96</v>
      </c>
      <c r="B7" s="53" t="s">
        <v>109</v>
      </c>
      <c r="C7" s="52"/>
      <c r="D7" s="54"/>
      <c r="E7" s="49"/>
      <c r="F7" s="51"/>
    </row>
    <row r="8" spans="1:6" ht="16.5">
      <c r="A8" s="49" t="s">
        <v>97</v>
      </c>
      <c r="B8" s="53" t="s">
        <v>108</v>
      </c>
      <c r="C8" s="52"/>
      <c r="D8" s="54"/>
      <c r="E8" s="49"/>
      <c r="F8" s="55"/>
    </row>
    <row r="9" spans="1:6" ht="16.5">
      <c r="A9" s="49" t="s">
        <v>98</v>
      </c>
      <c r="B9" s="53" t="s">
        <v>100</v>
      </c>
      <c r="C9" s="56"/>
      <c r="D9" s="57"/>
      <c r="E9" s="56"/>
      <c r="F9" s="58"/>
    </row>
    <row r="10" spans="1:6" ht="16.5">
      <c r="A10" s="49"/>
      <c r="B10" s="53"/>
      <c r="C10" s="56"/>
      <c r="D10" s="57"/>
      <c r="E10" s="56"/>
      <c r="F10" s="58"/>
    </row>
    <row r="11" spans="1:6" ht="16.5">
      <c r="A11" s="127" t="s">
        <v>99</v>
      </c>
      <c r="B11" s="127"/>
      <c r="C11" s="127"/>
      <c r="D11" s="127"/>
      <c r="E11" s="127"/>
      <c r="F11" s="127"/>
    </row>
    <row r="12" ht="6.75" customHeight="1"/>
    <row r="13" spans="1:6" ht="16.5">
      <c r="A13" s="121" t="s">
        <v>39</v>
      </c>
      <c r="B13" s="112" t="s">
        <v>0</v>
      </c>
      <c r="C13" s="121" t="s">
        <v>1</v>
      </c>
      <c r="D13" s="112" t="s">
        <v>40</v>
      </c>
      <c r="E13" s="121" t="s">
        <v>41</v>
      </c>
      <c r="F13" s="121"/>
    </row>
    <row r="14" spans="1:6" ht="16.5">
      <c r="A14" s="121"/>
      <c r="B14" s="112"/>
      <c r="C14" s="121"/>
      <c r="D14" s="112"/>
      <c r="E14" s="121" t="s">
        <v>2</v>
      </c>
      <c r="F14" s="121" t="s">
        <v>42</v>
      </c>
    </row>
    <row r="15" spans="1:6" ht="16.5">
      <c r="A15" s="121"/>
      <c r="B15" s="112"/>
      <c r="C15" s="121"/>
      <c r="D15" s="112"/>
      <c r="E15" s="121"/>
      <c r="F15" s="121"/>
    </row>
    <row r="16" spans="1:6" ht="16.5">
      <c r="A16" s="2" t="s">
        <v>35</v>
      </c>
      <c r="B16" s="12" t="s">
        <v>36</v>
      </c>
      <c r="C16" s="2" t="s">
        <v>9</v>
      </c>
      <c r="D16" s="99"/>
      <c r="E16" s="100">
        <f>500*11*0.1</f>
        <v>550</v>
      </c>
      <c r="F16" s="99">
        <f aca="true" t="shared" si="0" ref="F16:F29">+ROUND(E16*D16,2)</f>
        <v>0</v>
      </c>
    </row>
    <row r="17" spans="1:6" ht="33">
      <c r="A17" s="2" t="s">
        <v>37</v>
      </c>
      <c r="B17" s="12" t="s">
        <v>84</v>
      </c>
      <c r="C17" s="2" t="s">
        <v>38</v>
      </c>
      <c r="D17" s="99"/>
      <c r="E17" s="100">
        <f>+E16*13.44</f>
        <v>7392</v>
      </c>
      <c r="F17" s="99">
        <f t="shared" si="0"/>
        <v>0</v>
      </c>
    </row>
    <row r="18" spans="1:6" ht="33">
      <c r="A18" s="2" t="s">
        <v>43</v>
      </c>
      <c r="B18" s="12" t="s">
        <v>44</v>
      </c>
      <c r="C18" s="2" t="s">
        <v>9</v>
      </c>
      <c r="D18" s="99"/>
      <c r="E18" s="100">
        <f>500*0.4*11</f>
        <v>2200</v>
      </c>
      <c r="F18" s="99">
        <f t="shared" si="0"/>
        <v>0</v>
      </c>
    </row>
    <row r="19" spans="1:6" ht="33">
      <c r="A19" s="2" t="s">
        <v>34</v>
      </c>
      <c r="B19" s="12" t="s">
        <v>48</v>
      </c>
      <c r="C19" s="2" t="s">
        <v>9</v>
      </c>
      <c r="D19" s="99"/>
      <c r="E19" s="100">
        <v>72</v>
      </c>
      <c r="F19" s="99">
        <f t="shared" si="0"/>
        <v>0</v>
      </c>
    </row>
    <row r="20" spans="1:6" ht="16.5">
      <c r="A20" s="2" t="s">
        <v>25</v>
      </c>
      <c r="B20" s="12" t="s">
        <v>26</v>
      </c>
      <c r="C20" s="2" t="s">
        <v>49</v>
      </c>
      <c r="D20" s="99"/>
      <c r="E20" s="100">
        <v>6120.52</v>
      </c>
      <c r="F20" s="99">
        <f t="shared" si="0"/>
        <v>0</v>
      </c>
    </row>
    <row r="21" spans="1:6" ht="16.5">
      <c r="A21" s="2" t="s">
        <v>14</v>
      </c>
      <c r="B21" s="12" t="s">
        <v>45</v>
      </c>
      <c r="C21" s="2" t="s">
        <v>9</v>
      </c>
      <c r="D21" s="99"/>
      <c r="E21" s="100">
        <f>500*0.35*11</f>
        <v>1925</v>
      </c>
      <c r="F21" s="99">
        <f t="shared" si="0"/>
        <v>0</v>
      </c>
    </row>
    <row r="22" spans="1:6" ht="16.5">
      <c r="A22" s="2" t="s">
        <v>15</v>
      </c>
      <c r="B22" s="12" t="s">
        <v>46</v>
      </c>
      <c r="C22" s="2" t="s">
        <v>9</v>
      </c>
      <c r="D22" s="99"/>
      <c r="E22" s="100">
        <f>500*0.3*11</f>
        <v>1650</v>
      </c>
      <c r="F22" s="99">
        <f t="shared" si="0"/>
        <v>0</v>
      </c>
    </row>
    <row r="23" spans="1:6" ht="16.5">
      <c r="A23" s="2" t="s">
        <v>47</v>
      </c>
      <c r="B23" s="12" t="s">
        <v>85</v>
      </c>
      <c r="C23" s="2" t="s">
        <v>38</v>
      </c>
      <c r="D23" s="99"/>
      <c r="E23" s="100">
        <f>+E22*13.44</f>
        <v>22176</v>
      </c>
      <c r="F23" s="99">
        <f t="shared" si="0"/>
        <v>0</v>
      </c>
    </row>
    <row r="24" spans="1:6" ht="16.5">
      <c r="A24" s="2" t="s">
        <v>47</v>
      </c>
      <c r="B24" s="12" t="s">
        <v>86</v>
      </c>
      <c r="C24" s="2" t="s">
        <v>38</v>
      </c>
      <c r="D24" s="99"/>
      <c r="E24" s="100">
        <f>+E21*13.44</f>
        <v>25872</v>
      </c>
      <c r="F24" s="99">
        <f t="shared" si="0"/>
        <v>0</v>
      </c>
    </row>
    <row r="25" spans="1:6" ht="16.5">
      <c r="A25" s="2" t="s">
        <v>47</v>
      </c>
      <c r="B25" s="12" t="s">
        <v>87</v>
      </c>
      <c r="C25" s="2" t="s">
        <v>38</v>
      </c>
      <c r="D25" s="99"/>
      <c r="E25" s="100">
        <f>+E18*13.44</f>
        <v>29568</v>
      </c>
      <c r="F25" s="99">
        <f t="shared" si="0"/>
        <v>0</v>
      </c>
    </row>
    <row r="26" spans="1:7" ht="16.5">
      <c r="A26" s="59" t="s">
        <v>70</v>
      </c>
      <c r="B26" s="60" t="s">
        <v>29</v>
      </c>
      <c r="C26" s="61" t="s">
        <v>9</v>
      </c>
      <c r="D26" s="101"/>
      <c r="E26" s="62">
        <f>500*1.5*0.5</f>
        <v>375</v>
      </c>
      <c r="F26" s="99">
        <f t="shared" si="0"/>
        <v>0</v>
      </c>
      <c r="G26" s="63"/>
    </row>
    <row r="27" spans="1:7" ht="16.5">
      <c r="A27" s="2" t="s">
        <v>47</v>
      </c>
      <c r="B27" s="12" t="s">
        <v>88</v>
      </c>
      <c r="C27" s="2" t="s">
        <v>38</v>
      </c>
      <c r="D27" s="99"/>
      <c r="E27" s="100">
        <f>+E26*13.44</f>
        <v>5040</v>
      </c>
      <c r="F27" s="99">
        <f t="shared" si="0"/>
        <v>0</v>
      </c>
      <c r="G27" s="63"/>
    </row>
    <row r="28" spans="1:7" ht="16.5">
      <c r="A28" s="59" t="s">
        <v>71</v>
      </c>
      <c r="B28" s="60" t="s">
        <v>31</v>
      </c>
      <c r="C28" s="61" t="s">
        <v>16</v>
      </c>
      <c r="D28" s="101"/>
      <c r="E28" s="62">
        <f>((1.5*2)+(0.5*2)+0.3)*500</f>
        <v>2150</v>
      </c>
      <c r="F28" s="99">
        <f t="shared" si="0"/>
        <v>0</v>
      </c>
      <c r="G28" s="63"/>
    </row>
    <row r="29" spans="1:7" ht="16.5">
      <c r="A29" s="59" t="s">
        <v>72</v>
      </c>
      <c r="B29" s="60" t="s">
        <v>73</v>
      </c>
      <c r="C29" s="61" t="s">
        <v>33</v>
      </c>
      <c r="D29" s="101"/>
      <c r="E29" s="62">
        <v>500</v>
      </c>
      <c r="F29" s="99">
        <f t="shared" si="0"/>
        <v>0</v>
      </c>
      <c r="G29" s="63"/>
    </row>
    <row r="30" spans="1:6" ht="17.25" thickBot="1">
      <c r="A30" s="64"/>
      <c r="B30" s="13"/>
      <c r="C30" s="64"/>
      <c r="D30" s="64"/>
      <c r="E30" s="16" t="s">
        <v>6</v>
      </c>
      <c r="F30" s="65">
        <v>145826.88</v>
      </c>
    </row>
    <row r="32" ht="16.5">
      <c r="A32" s="66"/>
    </row>
    <row r="33" ht="16.5">
      <c r="B33" s="33"/>
    </row>
  </sheetData>
  <sheetProtection/>
  <mergeCells count="13">
    <mergeCell ref="A1:F1"/>
    <mergeCell ref="A2:F2"/>
    <mergeCell ref="A3:F3"/>
    <mergeCell ref="B4:F4"/>
    <mergeCell ref="B5:E5"/>
    <mergeCell ref="A11:F11"/>
    <mergeCell ref="A13:A15"/>
    <mergeCell ref="B13:B15"/>
    <mergeCell ref="C13:C15"/>
    <mergeCell ref="D13:D15"/>
    <mergeCell ref="E13:F13"/>
    <mergeCell ref="E14:E15"/>
    <mergeCell ref="F14:F1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view="pageBreakPreview" zoomScale="80" zoomScaleSheetLayoutView="80" zoomScalePageLayoutView="0" workbookViewId="0" topLeftCell="A1">
      <selection activeCell="F17" sqref="F17"/>
    </sheetView>
  </sheetViews>
  <sheetFormatPr defaultColWidth="11.421875" defaultRowHeight="15"/>
  <cols>
    <col min="1" max="1" width="17.140625" style="1" customWidth="1"/>
    <col min="2" max="2" width="40.00390625" style="14" customWidth="1"/>
    <col min="3" max="3" width="11.421875" style="1" customWidth="1"/>
    <col min="4" max="4" width="11.57421875" style="1" bestFit="1" customWidth="1"/>
    <col min="5" max="5" width="13.00390625" style="1" bestFit="1" customWidth="1"/>
    <col min="6" max="6" width="14.421875" style="1" bestFit="1" customWidth="1"/>
    <col min="7" max="16384" width="11.421875" style="1" customWidth="1"/>
  </cols>
  <sheetData>
    <row r="1" spans="1:6" ht="16.5">
      <c r="A1" s="122" t="s">
        <v>91</v>
      </c>
      <c r="B1" s="122"/>
      <c r="C1" s="122"/>
      <c r="D1" s="122"/>
      <c r="E1" s="122"/>
      <c r="F1" s="122"/>
    </row>
    <row r="2" spans="1:6" ht="16.5">
      <c r="A2" s="123" t="s">
        <v>92</v>
      </c>
      <c r="B2" s="123"/>
      <c r="C2" s="123"/>
      <c r="D2" s="123"/>
      <c r="E2" s="123"/>
      <c r="F2" s="123"/>
    </row>
    <row r="3" spans="1:6" ht="16.5">
      <c r="A3" s="124" t="s">
        <v>102</v>
      </c>
      <c r="B3" s="124"/>
      <c r="C3" s="124"/>
      <c r="D3" s="124"/>
      <c r="E3" s="124"/>
      <c r="F3" s="124"/>
    </row>
    <row r="4" spans="1:6" ht="45.75" customHeight="1">
      <c r="A4" s="37" t="s">
        <v>93</v>
      </c>
      <c r="B4" s="125" t="s">
        <v>139</v>
      </c>
      <c r="C4" s="125"/>
      <c r="D4" s="125"/>
      <c r="E4" s="125"/>
      <c r="F4" s="125"/>
    </row>
    <row r="5" spans="1:6" ht="16.5">
      <c r="A5" s="37" t="s">
        <v>94</v>
      </c>
      <c r="B5" s="126" t="s">
        <v>103</v>
      </c>
      <c r="C5" s="126"/>
      <c r="D5" s="126"/>
      <c r="E5" s="126"/>
      <c r="F5" s="39"/>
    </row>
    <row r="6" spans="1:6" ht="16.5">
      <c r="A6" s="37" t="s">
        <v>95</v>
      </c>
      <c r="B6" s="32" t="s">
        <v>105</v>
      </c>
      <c r="C6" s="38"/>
      <c r="D6" s="39"/>
      <c r="E6" s="37"/>
      <c r="F6" s="39"/>
    </row>
    <row r="7" spans="1:6" ht="16.5">
      <c r="A7" s="37" t="s">
        <v>96</v>
      </c>
      <c r="B7" s="40" t="s">
        <v>106</v>
      </c>
      <c r="C7" s="32"/>
      <c r="D7" s="41"/>
      <c r="E7" s="37"/>
      <c r="F7" s="39"/>
    </row>
    <row r="8" spans="1:6" ht="16.5">
      <c r="A8" s="37" t="s">
        <v>97</v>
      </c>
      <c r="B8" s="40" t="s">
        <v>104</v>
      </c>
      <c r="C8" s="32"/>
      <c r="D8" s="41"/>
      <c r="E8" s="37"/>
      <c r="F8" s="42"/>
    </row>
    <row r="9" spans="1:6" ht="16.5">
      <c r="A9" s="37" t="s">
        <v>98</v>
      </c>
      <c r="B9" s="40" t="s">
        <v>100</v>
      </c>
      <c r="C9" s="43"/>
      <c r="D9" s="44"/>
      <c r="E9" s="43"/>
      <c r="F9" s="45"/>
    </row>
    <row r="10" spans="1:6" ht="16.5">
      <c r="A10" s="37"/>
      <c r="B10" s="40"/>
      <c r="C10" s="43"/>
      <c r="D10" s="44"/>
      <c r="E10" s="43"/>
      <c r="F10" s="45"/>
    </row>
    <row r="11" spans="1:6" ht="16.5">
      <c r="A11" s="127" t="s">
        <v>99</v>
      </c>
      <c r="B11" s="127"/>
      <c r="C11" s="127"/>
      <c r="D11" s="127"/>
      <c r="E11" s="127"/>
      <c r="F11" s="127"/>
    </row>
    <row r="12" ht="8.25" customHeight="1"/>
    <row r="13" spans="1:6" ht="16.5" customHeight="1">
      <c r="A13" s="132" t="s">
        <v>39</v>
      </c>
      <c r="B13" s="135" t="s">
        <v>0</v>
      </c>
      <c r="C13" s="132" t="s">
        <v>1</v>
      </c>
      <c r="D13" s="135" t="s">
        <v>40</v>
      </c>
      <c r="E13" s="138" t="s">
        <v>41</v>
      </c>
      <c r="F13" s="139"/>
    </row>
    <row r="14" spans="1:6" ht="16.5">
      <c r="A14" s="133"/>
      <c r="B14" s="136"/>
      <c r="C14" s="133"/>
      <c r="D14" s="136"/>
      <c r="E14" s="132" t="s">
        <v>2</v>
      </c>
      <c r="F14" s="132" t="s">
        <v>42</v>
      </c>
    </row>
    <row r="15" spans="1:6" ht="16.5">
      <c r="A15" s="134"/>
      <c r="B15" s="137"/>
      <c r="C15" s="134"/>
      <c r="D15" s="137"/>
      <c r="E15" s="134"/>
      <c r="F15" s="134"/>
    </row>
    <row r="16" spans="1:6" s="27" customFormat="1" ht="16.5">
      <c r="A16" s="25" t="s">
        <v>35</v>
      </c>
      <c r="B16" s="26" t="s">
        <v>36</v>
      </c>
      <c r="C16" s="25" t="s">
        <v>9</v>
      </c>
      <c r="D16" s="97"/>
      <c r="E16" s="98">
        <f>900*11*0.2</f>
        <v>1980</v>
      </c>
      <c r="F16" s="97">
        <f aca="true" t="shared" si="0" ref="F16:F21">+ROUND(E16*D16,2)</f>
        <v>0</v>
      </c>
    </row>
    <row r="17" spans="1:6" s="27" customFormat="1" ht="33">
      <c r="A17" s="25" t="s">
        <v>37</v>
      </c>
      <c r="B17" s="26" t="s">
        <v>60</v>
      </c>
      <c r="C17" s="25" t="s">
        <v>38</v>
      </c>
      <c r="D17" s="97"/>
      <c r="E17" s="98">
        <f>+E16*11.27</f>
        <v>22314.6</v>
      </c>
      <c r="F17" s="97">
        <f t="shared" si="0"/>
        <v>0</v>
      </c>
    </row>
    <row r="18" spans="1:6" s="27" customFormat="1" ht="33">
      <c r="A18" s="25" t="s">
        <v>43</v>
      </c>
      <c r="B18" s="26" t="s">
        <v>44</v>
      </c>
      <c r="C18" s="25" t="s">
        <v>9</v>
      </c>
      <c r="D18" s="97"/>
      <c r="E18" s="98">
        <f>900*0.4*11</f>
        <v>3960</v>
      </c>
      <c r="F18" s="97">
        <f t="shared" si="0"/>
        <v>0</v>
      </c>
    </row>
    <row r="19" spans="1:6" s="27" customFormat="1" ht="16.5">
      <c r="A19" s="25" t="s">
        <v>14</v>
      </c>
      <c r="B19" s="26" t="s">
        <v>45</v>
      </c>
      <c r="C19" s="25" t="s">
        <v>9</v>
      </c>
      <c r="D19" s="97"/>
      <c r="E19" s="98">
        <f>900*0.35*11</f>
        <v>3465</v>
      </c>
      <c r="F19" s="97">
        <f t="shared" si="0"/>
        <v>0</v>
      </c>
    </row>
    <row r="20" spans="1:6" s="27" customFormat="1" ht="16.5">
      <c r="A20" s="25" t="s">
        <v>15</v>
      </c>
      <c r="B20" s="26" t="s">
        <v>46</v>
      </c>
      <c r="C20" s="25" t="s">
        <v>9</v>
      </c>
      <c r="D20" s="97"/>
      <c r="E20" s="98">
        <f>900*0.3*11</f>
        <v>2970</v>
      </c>
      <c r="F20" s="97">
        <f t="shared" si="0"/>
        <v>0</v>
      </c>
    </row>
    <row r="21" spans="1:6" s="27" customFormat="1" ht="16.5">
      <c r="A21" s="25" t="s">
        <v>47</v>
      </c>
      <c r="B21" s="26" t="s">
        <v>64</v>
      </c>
      <c r="C21" s="25" t="s">
        <v>38</v>
      </c>
      <c r="D21" s="97"/>
      <c r="E21" s="98">
        <f>+E20*11.27</f>
        <v>33471.9</v>
      </c>
      <c r="F21" s="97">
        <f t="shared" si="0"/>
        <v>0</v>
      </c>
    </row>
    <row r="22" spans="1:6" s="27" customFormat="1" ht="16.5">
      <c r="A22" s="25" t="s">
        <v>47</v>
      </c>
      <c r="B22" s="26" t="s">
        <v>65</v>
      </c>
      <c r="C22" s="25" t="s">
        <v>38</v>
      </c>
      <c r="D22" s="97"/>
      <c r="E22" s="98">
        <f>+E19*11.27</f>
        <v>39050.549999999996</v>
      </c>
      <c r="F22" s="97">
        <f>+ROUND(E22*D22,2)</f>
        <v>0</v>
      </c>
    </row>
    <row r="23" spans="1:6" s="27" customFormat="1" ht="16.5">
      <c r="A23" s="25" t="s">
        <v>47</v>
      </c>
      <c r="B23" s="26" t="s">
        <v>66</v>
      </c>
      <c r="C23" s="25" t="s">
        <v>38</v>
      </c>
      <c r="D23" s="97"/>
      <c r="E23" s="98">
        <f>+E18*11.27</f>
        <v>44629.2</v>
      </c>
      <c r="F23" s="97">
        <f>+ROUND(E23*D23,2)</f>
        <v>0</v>
      </c>
    </row>
    <row r="24" spans="1:6" ht="17.25" thickBot="1">
      <c r="A24" s="11"/>
      <c r="B24" s="13"/>
      <c r="C24" s="11"/>
      <c r="D24" s="11"/>
      <c r="E24" s="16" t="s">
        <v>6</v>
      </c>
      <c r="F24" s="15">
        <v>200948.95</v>
      </c>
    </row>
    <row r="27" spans="1:2" ht="16.5">
      <c r="A27" s="48"/>
      <c r="B27" s="1"/>
    </row>
  </sheetData>
  <sheetProtection/>
  <mergeCells count="13">
    <mergeCell ref="A11:F11"/>
    <mergeCell ref="A3:F3"/>
    <mergeCell ref="B4:F4"/>
    <mergeCell ref="B5:E5"/>
    <mergeCell ref="A1:F1"/>
    <mergeCell ref="A2:F2"/>
    <mergeCell ref="A13:A15"/>
    <mergeCell ref="B13:B15"/>
    <mergeCell ref="C13:C15"/>
    <mergeCell ref="D13:D15"/>
    <mergeCell ref="E13:F13"/>
    <mergeCell ref="E14:E15"/>
    <mergeCell ref="F14:F1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view="pageBreakPreview" zoomScaleSheetLayoutView="100" zoomScalePageLayoutView="0" workbookViewId="0" topLeftCell="A1">
      <selection activeCell="C21" sqref="C21"/>
    </sheetView>
  </sheetViews>
  <sheetFormatPr defaultColWidth="11.421875" defaultRowHeight="15"/>
  <cols>
    <col min="1" max="1" width="49.421875" style="1" customWidth="1"/>
    <col min="2" max="2" width="58.00390625" style="1" customWidth="1"/>
    <col min="3" max="3" width="36.140625" style="1" customWidth="1"/>
    <col min="4" max="16384" width="11.421875" style="1" customWidth="1"/>
  </cols>
  <sheetData>
    <row r="1" spans="1:3" ht="16.5">
      <c r="A1" s="32"/>
      <c r="B1" s="32"/>
      <c r="C1" s="32"/>
    </row>
    <row r="2" spans="1:5" ht="20.25">
      <c r="A2" s="140" t="s">
        <v>91</v>
      </c>
      <c r="B2" s="140"/>
      <c r="C2" s="140"/>
      <c r="D2" s="35"/>
      <c r="E2" s="35"/>
    </row>
    <row r="3" spans="1:5" ht="20.25">
      <c r="A3" s="140" t="s">
        <v>92</v>
      </c>
      <c r="B3" s="140"/>
      <c r="C3" s="140"/>
      <c r="D3" s="35"/>
      <c r="E3" s="35"/>
    </row>
    <row r="4" spans="1:5" ht="19.5">
      <c r="A4" s="46"/>
      <c r="B4" s="46"/>
      <c r="C4" s="46"/>
      <c r="D4" s="36"/>
      <c r="E4" s="36"/>
    </row>
    <row r="5" spans="1:5" ht="19.5">
      <c r="A5" s="142" t="s">
        <v>101</v>
      </c>
      <c r="B5" s="142"/>
      <c r="C5" s="142"/>
      <c r="D5" s="36"/>
      <c r="E5" s="36"/>
    </row>
    <row r="6" spans="1:5" ht="19.5">
      <c r="A6" s="47"/>
      <c r="B6" s="46"/>
      <c r="C6" s="46"/>
      <c r="D6" s="36"/>
      <c r="E6" s="36"/>
    </row>
    <row r="7" spans="1:5" ht="17.25">
      <c r="A7" s="141"/>
      <c r="B7" s="141"/>
      <c r="C7" s="141"/>
      <c r="D7" s="36"/>
      <c r="E7" s="36"/>
    </row>
    <row r="8" spans="1:5" ht="8.25" customHeight="1">
      <c r="A8" s="36"/>
      <c r="B8" s="36"/>
      <c r="C8" s="36"/>
      <c r="D8" s="36"/>
      <c r="E8" s="36"/>
    </row>
    <row r="9" spans="1:3" ht="16.5">
      <c r="A9" s="31" t="s">
        <v>90</v>
      </c>
      <c r="B9" s="31" t="s">
        <v>129</v>
      </c>
      <c r="C9" s="31" t="s">
        <v>89</v>
      </c>
    </row>
    <row r="10" spans="1:3" ht="16.5">
      <c r="A10" s="2" t="s">
        <v>128</v>
      </c>
      <c r="B10" s="31"/>
      <c r="C10" s="31"/>
    </row>
    <row r="11" spans="1:3" ht="16.5">
      <c r="A11" s="2">
        <v>1</v>
      </c>
      <c r="B11" s="4" t="s">
        <v>130</v>
      </c>
      <c r="C11" s="23">
        <f>+'PTO CRITICO 1'!F24</f>
        <v>200948.95</v>
      </c>
    </row>
    <row r="12" spans="1:3" ht="16.5">
      <c r="A12" s="2">
        <v>2</v>
      </c>
      <c r="B12" s="4" t="s">
        <v>131</v>
      </c>
      <c r="C12" s="23">
        <f>+'PTO CRITICO 2'!F30</f>
        <v>145826.88</v>
      </c>
    </row>
    <row r="13" spans="1:3" ht="16.5">
      <c r="A13" s="2" t="s">
        <v>110</v>
      </c>
      <c r="B13" s="4"/>
      <c r="C13" s="23"/>
    </row>
    <row r="14" spans="1:3" ht="16.5">
      <c r="A14" s="2">
        <v>3</v>
      </c>
      <c r="B14" s="4" t="s">
        <v>132</v>
      </c>
      <c r="C14" s="23">
        <f>+'PTO CRITICO 3'!F21</f>
        <v>100860.84399999998</v>
      </c>
    </row>
    <row r="15" spans="1:3" ht="16.5">
      <c r="A15" s="2">
        <v>4</v>
      </c>
      <c r="B15" s="4" t="s">
        <v>133</v>
      </c>
      <c r="C15" s="23">
        <f>+'PTO CRITICO 4'!F29</f>
        <v>617620.8238</v>
      </c>
    </row>
    <row r="16" spans="1:3" ht="16.5">
      <c r="A16" s="2" t="s">
        <v>117</v>
      </c>
      <c r="B16" s="4"/>
      <c r="C16" s="23"/>
    </row>
    <row r="17" spans="1:3" ht="16.5">
      <c r="A17" s="2">
        <v>5</v>
      </c>
      <c r="B17" s="4" t="s">
        <v>134</v>
      </c>
      <c r="C17" s="23">
        <f>+'PTO CRITICO 5'!F29</f>
        <v>607260.5399999998</v>
      </c>
    </row>
    <row r="18" spans="1:3" ht="16.5">
      <c r="A18" s="2">
        <v>6</v>
      </c>
      <c r="B18" s="4" t="s">
        <v>135</v>
      </c>
      <c r="C18" s="23">
        <f>+'PTO CRITICO 6'!F26</f>
        <v>45301.78999999999</v>
      </c>
    </row>
    <row r="19" spans="1:3" ht="16.5">
      <c r="A19" s="2" t="s">
        <v>121</v>
      </c>
      <c r="B19" s="4"/>
      <c r="C19" s="23"/>
    </row>
    <row r="20" spans="1:3" ht="16.5">
      <c r="A20" s="2">
        <v>7</v>
      </c>
      <c r="B20" s="4" t="s">
        <v>136</v>
      </c>
      <c r="C20" s="23">
        <f>+'PTO CRITICO 7'!F28</f>
        <v>124643.82</v>
      </c>
    </row>
    <row r="21" spans="1:3" ht="16.5">
      <c r="A21" s="2">
        <v>8</v>
      </c>
      <c r="B21" s="4" t="s">
        <v>137</v>
      </c>
      <c r="C21" s="23">
        <f>+'PTO CRITICO 8'!F28</f>
        <v>230132.82</v>
      </c>
    </row>
    <row r="22" spans="1:3" ht="16.5">
      <c r="A22" s="34"/>
      <c r="B22" s="22" t="s">
        <v>6</v>
      </c>
      <c r="C22" s="24">
        <f>+SUM(C11:C21)</f>
        <v>2072596.4678</v>
      </c>
    </row>
    <row r="28" spans="8:12" ht="16.5">
      <c r="H28" s="30"/>
      <c r="J28" s="30"/>
      <c r="L28" s="30"/>
    </row>
  </sheetData>
  <sheetProtection/>
  <mergeCells count="4">
    <mergeCell ref="A3:C3"/>
    <mergeCell ref="A2:C2"/>
    <mergeCell ref="A7:C7"/>
    <mergeCell ref="A5:C5"/>
  </mergeCells>
  <printOptions/>
  <pageMargins left="0.7" right="0.7" top="0.75" bottom="0.75" header="0.3" footer="0.3"/>
  <pageSetup fitToHeight="1" fitToWidth="1"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Guido Patricio Andrade Almache</dc:creator>
  <cp:keywords/>
  <dc:description/>
  <cp:lastModifiedBy>Luis Alberto Velez Cabrera</cp:lastModifiedBy>
  <cp:lastPrinted>2019-10-29T21:36:11Z</cp:lastPrinted>
  <dcterms:created xsi:type="dcterms:W3CDTF">2018-11-30T16:44:20Z</dcterms:created>
  <dcterms:modified xsi:type="dcterms:W3CDTF">2019-12-24T20:37:17Z</dcterms:modified>
  <cp:category/>
  <cp:version/>
  <cp:contentType/>
  <cp:contentStatus/>
</cp:coreProperties>
</file>