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7715" windowHeight="7740" activeTab="0"/>
  </bookViews>
  <sheets>
    <sheet name="RESUMEN" sheetId="1" r:id="rId1"/>
    <sheet name="PC 01" sheetId="2" r:id="rId2"/>
    <sheet name="PC 02" sheetId="3" r:id="rId3"/>
    <sheet name="PC 03" sheetId="4" r:id="rId4"/>
    <sheet name="PC 04" sheetId="5" r:id="rId5"/>
    <sheet name="PC 05" sheetId="6" r:id="rId6"/>
    <sheet name="PC 06" sheetId="7" r:id="rId7"/>
    <sheet name="PC 07" sheetId="8" r:id="rId8"/>
    <sheet name="PC 08" sheetId="9" r:id="rId9"/>
    <sheet name="PC 09" sheetId="10" r:id="rId10"/>
    <sheet name="PC 10" sheetId="11" r:id="rId11"/>
  </sheets>
  <externalReferences>
    <externalReference r:id="rId14"/>
  </externalReferences>
  <definedNames>
    <definedName name="_xlnm.Print_Area" localSheetId="1">'PC 01'!$A$1:$G$30</definedName>
    <definedName name="_xlnm.Print_Area" localSheetId="4">'PC 04'!$A$1:$G$33</definedName>
    <definedName name="_xlnm.Print_Area" localSheetId="5">'PC 05'!$A$1:$G$35</definedName>
    <definedName name="_xlnm.Print_Area" localSheetId="6">'PC 06'!$A$1:$G$26</definedName>
    <definedName name="_xlnm.Print_Area" localSheetId="0">'RESUMEN'!$A$1:$D$25</definedName>
  </definedNames>
  <calcPr fullCalcOnLoad="1"/>
</workbook>
</file>

<file path=xl/sharedStrings.xml><?xml version="1.0" encoding="utf-8"?>
<sst xmlns="http://schemas.openxmlformats.org/spreadsheetml/2006/main" count="721" uniqueCount="190">
  <si>
    <t>MINISTERIO DE TRANSPORTE Y OBRAS PÚBLICAS</t>
  </si>
  <si>
    <t>DIRECCION DISTRITAL DE NAPO/SUCUMBÍOS</t>
  </si>
  <si>
    <t>PRESUPUESTO PUNTPOS CRITICOS</t>
  </si>
  <si>
    <t>TRAMOS</t>
  </si>
  <si>
    <t>DESCRIPCION DEL PUNTO CRÍTICO</t>
  </si>
  <si>
    <t>MONTO REFERENCIAL</t>
  </si>
  <si>
    <t>"Y" DE BAEZA-LAGO AGRIO</t>
  </si>
  <si>
    <t>Abscisa</t>
  </si>
  <si>
    <t>86+000 - 86+200</t>
  </si>
  <si>
    <t>87+000 - 87+080</t>
  </si>
  <si>
    <t>99+900 - 99+940</t>
  </si>
  <si>
    <t>100+350 - 100+390</t>
  </si>
  <si>
    <t>TOTAL PUNTOS CRITICOS  =</t>
  </si>
  <si>
    <t>TRAMO 1: Y DE BAEZA – REVENTADOR (LIMITE PROVINCIAL)</t>
  </si>
  <si>
    <t>SITIO CRITICO 01</t>
  </si>
  <si>
    <t>ABS.</t>
  </si>
  <si>
    <t xml:space="preserve">16+800 – 16+900  </t>
  </si>
  <si>
    <t>RUBROS-PRESUPUESTO</t>
  </si>
  <si>
    <t>Nro</t>
  </si>
  <si>
    <t>RUBRO No.</t>
  </si>
  <si>
    <t>DESCRIPCIÓN.</t>
  </si>
  <si>
    <t>UNIDAD</t>
  </si>
  <si>
    <t>CANTIDAD</t>
  </si>
  <si>
    <t>PRECIO UNITARIO</t>
  </si>
  <si>
    <t>PRECIO TOTAL</t>
  </si>
  <si>
    <t>A</t>
  </si>
  <si>
    <t>OBRAS PRELIMINARES</t>
  </si>
  <si>
    <t>MR-131</t>
  </si>
  <si>
    <t>Desbroce, Desbosque y Limpieza (incluye desalojo)</t>
  </si>
  <si>
    <t>Ha</t>
  </si>
  <si>
    <t>303-2(1)</t>
  </si>
  <si>
    <t>Excavación sin clasificación</t>
  </si>
  <si>
    <t>m3</t>
  </si>
  <si>
    <t>309-2 (2)a</t>
  </si>
  <si>
    <t>Transporte de material de excavación</t>
  </si>
  <si>
    <t>m3/km</t>
  </si>
  <si>
    <t xml:space="preserve">B </t>
  </si>
  <si>
    <t>MURO DE GAVIONES</t>
  </si>
  <si>
    <t>304-1(1)</t>
  </si>
  <si>
    <t>Mejoramiento con enrocado</t>
  </si>
  <si>
    <t>508 (3)</t>
  </si>
  <si>
    <t>Muro de gaviones (Incluye transporte)</t>
  </si>
  <si>
    <t>309-6(5)g</t>
  </si>
  <si>
    <t>Transporte de material de mejoramiento</t>
  </si>
  <si>
    <t>C.</t>
  </si>
  <si>
    <t>ESTRUCTURA</t>
  </si>
  <si>
    <t>457dex</t>
  </si>
  <si>
    <t>Derrocamiento de estructura  existente</t>
  </si>
  <si>
    <t>405-5</t>
  </si>
  <si>
    <t>Capa de rodadura de hormigón asfáltico mezclado en planta de 5 cm. de espesor</t>
  </si>
  <si>
    <t>m2</t>
  </si>
  <si>
    <t>309-6(4)E</t>
  </si>
  <si>
    <t>Transporte de mezcla asfáltica para capa de rodadura, DMT=47.20 km</t>
  </si>
  <si>
    <t xml:space="preserve">Transporte de base clase 2, DMT=40 KM </t>
  </si>
  <si>
    <r>
      <t>m</t>
    </r>
    <r>
      <rPr>
        <vertAlign val="superscript"/>
        <sz val="12"/>
        <color indexed="8"/>
        <rFont val="Arial"/>
        <family val="2"/>
      </rPr>
      <t xml:space="preserve">3 </t>
    </r>
    <r>
      <rPr>
        <sz val="12"/>
        <color indexed="8"/>
        <rFont val="Arial"/>
        <family val="2"/>
      </rPr>
      <t>-km</t>
    </r>
  </si>
  <si>
    <t>405-5a</t>
  </si>
  <si>
    <t>Carpeta de asfalto e= 7.5 cm</t>
  </si>
  <si>
    <t>405-1 (1)</t>
  </si>
  <si>
    <t xml:space="preserve">Asfalto MC para imprimación </t>
  </si>
  <si>
    <t>lt</t>
  </si>
  <si>
    <t>D.</t>
  </si>
  <si>
    <t>HIDROLOGÍA - HIDRÁULICA</t>
  </si>
  <si>
    <t>307-3(1)a</t>
  </si>
  <si>
    <t>Excavación para cunetas laterales - encauzamientos</t>
  </si>
  <si>
    <t>511-1(4)a</t>
  </si>
  <si>
    <t>Hormigon estructural con cemento portland tipo D f´c=175 kg/cm2 cunetas</t>
  </si>
  <si>
    <t>SUBTOTAL</t>
  </si>
  <si>
    <t>SITIO CRITICO 02</t>
  </si>
  <si>
    <t xml:space="preserve">18+900 – 19+300 </t>
  </si>
  <si>
    <t>1.</t>
  </si>
  <si>
    <t>PRELIMINARES</t>
  </si>
  <si>
    <t>B</t>
  </si>
  <si>
    <t>ESTRUCTURA DE PAVIMENTO</t>
  </si>
  <si>
    <t>301-3 (1)</t>
  </si>
  <si>
    <t>Remoción de carpeta de rodadura</t>
  </si>
  <si>
    <t>402-7(1)</t>
  </si>
  <si>
    <t>Geomalla para refuerzo BX 1100  o similar</t>
  </si>
  <si>
    <t>402-6(1)</t>
  </si>
  <si>
    <t>Geotextil / T 2400 o similar</t>
  </si>
  <si>
    <t>403-1</t>
  </si>
  <si>
    <t>Sub base clase 3</t>
  </si>
  <si>
    <t>309-6(5)e</t>
  </si>
  <si>
    <t xml:space="preserve">Transporte de material de sub base </t>
  </si>
  <si>
    <t>404-1</t>
  </si>
  <si>
    <t>Base clase 2</t>
  </si>
  <si>
    <t>309-6(5)f</t>
  </si>
  <si>
    <t xml:space="preserve">Transporte de material de Base </t>
  </si>
  <si>
    <t>Asfalto RC 250, para imprimación</t>
  </si>
  <si>
    <t>lts</t>
  </si>
  <si>
    <t>C</t>
  </si>
  <si>
    <t>Revestimiento de cunetas laterales MTOP F´c = 180 Kg./cm2 - encauzamientos</t>
  </si>
  <si>
    <t>601 - (2)</t>
  </si>
  <si>
    <t>Material Filtrante</t>
  </si>
  <si>
    <t>606-1(1a)</t>
  </si>
  <si>
    <t>Tubería  para subdrenes 110mm</t>
  </si>
  <si>
    <t>m</t>
  </si>
  <si>
    <t>SITIO CRITICO 03</t>
  </si>
  <si>
    <t xml:space="preserve">31+400 – 31+465 </t>
  </si>
  <si>
    <t>D</t>
  </si>
  <si>
    <t>SITIO CRITICO 04</t>
  </si>
  <si>
    <t xml:space="preserve">54+700 – 54+730 </t>
  </si>
  <si>
    <t>302-1</t>
  </si>
  <si>
    <t>Desbroce, Desbosque y Limpieza.</t>
  </si>
  <si>
    <t>ha.</t>
  </si>
  <si>
    <t>406-8</t>
  </si>
  <si>
    <t>Fresado de pavimento asfáltico.</t>
  </si>
  <si>
    <t>Transporte de material de fresado DMT=28 km</t>
  </si>
  <si>
    <t>m3-km</t>
  </si>
  <si>
    <t>2.</t>
  </si>
  <si>
    <t>PAVIMENTO</t>
  </si>
  <si>
    <t>Excavación sin clasificar</t>
  </si>
  <si>
    <t>Transporte de material de excavación DMT=28 KM</t>
  </si>
  <si>
    <t>308-2(1)</t>
  </si>
  <si>
    <t>Acabado de obra básica existente</t>
  </si>
  <si>
    <t>Subbase clase 3</t>
  </si>
  <si>
    <t>Transporte subbase clase 3 DMT=38 KM</t>
  </si>
  <si>
    <t xml:space="preserve">Base, Clase 2 </t>
  </si>
  <si>
    <t xml:space="preserve">Transporte de base clase 2, DMT=38 KM </t>
  </si>
  <si>
    <t>ESTRUCTURA DE ALCANTARILLA TIPO CAJON</t>
  </si>
  <si>
    <t>Mejoramiento de suelo con piedra bola</t>
  </si>
  <si>
    <t xml:space="preserve">Hormigon estructural con cemento portland tipo D f´c=180 kg/cm2 </t>
  </si>
  <si>
    <t>Hormigón estructural de cemento portland clase B (f´c = 210 kg/cm2)</t>
  </si>
  <si>
    <r>
      <t>m</t>
    </r>
    <r>
      <rPr>
        <vertAlign val="superscript"/>
        <sz val="12"/>
        <color indexed="8"/>
        <rFont val="Arial"/>
        <family val="2"/>
      </rPr>
      <t>3</t>
    </r>
  </si>
  <si>
    <t>Hormigon estructural en alcantarilla tipo cajon  f'c=280 kg/cm2 inc. Encf</t>
  </si>
  <si>
    <t>Acero de refuerzo en barras (fy = 4200 Kg/cm2)</t>
  </si>
  <si>
    <t>kg</t>
  </si>
  <si>
    <t>4.</t>
  </si>
  <si>
    <t>DRENAJE</t>
  </si>
  <si>
    <t>307-2(1)</t>
  </si>
  <si>
    <t>Excavación y relleno para estructuras</t>
  </si>
  <si>
    <t>304-1(2)</t>
  </si>
  <si>
    <t>Material de prestamo importado</t>
  </si>
  <si>
    <t xml:space="preserve">Transporte de material de prestamo importado, DMT=38 KM </t>
  </si>
  <si>
    <t>606-1 (1b)</t>
  </si>
  <si>
    <t xml:space="preserve">Geotextil para subdrén </t>
  </si>
  <si>
    <t>SITIO CRITICO 05</t>
  </si>
  <si>
    <t xml:space="preserve">64+700 – 64+720 </t>
  </si>
  <si>
    <t>Geotextil para subdrén NT 4000</t>
  </si>
  <si>
    <t>SITIO CRITICO 06</t>
  </si>
  <si>
    <t>68+800 – 68+850</t>
  </si>
  <si>
    <t>erad</t>
  </si>
  <si>
    <t>Encauzamiento del Rio  100 m aguas arriba</t>
  </si>
  <si>
    <t>PRESUPUESTO REFERENCIAL DE PUNTOS CRÍTICOS</t>
  </si>
  <si>
    <t>PROYECTO:</t>
  </si>
  <si>
    <t>SUBTRAMO:</t>
  </si>
  <si>
    <t>UBICACIÓN:</t>
  </si>
  <si>
    <t xml:space="preserve">Abscisa 86+000 - 86+200. </t>
  </si>
  <si>
    <t>LONGITUD (m):</t>
  </si>
  <si>
    <t>ALTURA: (m)</t>
  </si>
  <si>
    <t>DMT (KM):</t>
  </si>
  <si>
    <t>PROVINCIA:</t>
  </si>
  <si>
    <t>SUCUMBIOS</t>
  </si>
  <si>
    <t>UTM:</t>
  </si>
  <si>
    <t>TABLA DE CANTIDADES Y PRECIOS</t>
  </si>
  <si>
    <t>ESPECIF.</t>
  </si>
  <si>
    <t>DESCRIPCION</t>
  </si>
  <si>
    <t>P.UNITARIO</t>
  </si>
  <si>
    <t>TOTAL</t>
  </si>
  <si>
    <t>Remocion de hormigón (cunetas)</t>
  </si>
  <si>
    <t>303-2 (1)</t>
  </si>
  <si>
    <t>Excavación sin clasificación (incluye transporte)</t>
  </si>
  <si>
    <t xml:space="preserve">CONSTRUCCIÓN DE MURO </t>
  </si>
  <si>
    <t>402-4 (1)</t>
  </si>
  <si>
    <t>Estabilizacion con material pétreo (pedraplen)</t>
  </si>
  <si>
    <t>402-7(2)</t>
  </si>
  <si>
    <t>503(6)</t>
  </si>
  <si>
    <t>Hormigon no estructural de cemento Portland Clase E (f´c= 140 kg/cm2)</t>
  </si>
  <si>
    <t>503(2)</t>
  </si>
  <si>
    <t>Hormigon estructural de cemento Portland Clase E (f´c= 140 kg/cm2)</t>
  </si>
  <si>
    <t>Acero de refuerzo en barras (fy=4200 kg/cm2)</t>
  </si>
  <si>
    <t>503 (4)</t>
  </si>
  <si>
    <t>Hormigón estructural de cemento Portland, Clase D (f'c=175 kg/cm2), cunuetas laterales e=10 cm  MTOP</t>
  </si>
  <si>
    <t>CONFORMACIÓN DE LA ESTRUCTURA DE LA VIA</t>
  </si>
  <si>
    <t>308-2 (1)</t>
  </si>
  <si>
    <t>Acabado de la obra básica existente  MTOP</t>
  </si>
  <si>
    <r>
      <rPr>
        <sz val="8"/>
        <color indexed="8"/>
        <rFont val="Arial"/>
        <family val="2"/>
      </rPr>
      <t>403-1</t>
    </r>
  </si>
  <si>
    <t>Sub-base Clase 3 MTOP</t>
  </si>
  <si>
    <t>309-4(2)a</t>
  </si>
  <si>
    <t>Transporte de Sub-base Clase 3, Distancia de transporte &gt; 50  km  MTOP</t>
  </si>
  <si>
    <t>Base Clase 2  MTOP</t>
  </si>
  <si>
    <t>Transporte de Base Clase 2, Distancia de transporte &gt; 50 km  MTOP</t>
  </si>
  <si>
    <t xml:space="preserve">TOTAL: </t>
  </si>
  <si>
    <t xml:space="preserve">Abscisa 87+000 - 87+080. </t>
  </si>
  <si>
    <t>ESTRUCTURA DEL PAVIMENTO</t>
  </si>
  <si>
    <t>HIDROLOGIA-HIDRAULICA</t>
  </si>
  <si>
    <t>Revestimiento de cunetas laterales MTOP F´c = 175 Kg./cm2 - encauzamientos</t>
  </si>
  <si>
    <t>Abscisa 99+900 - 99+940</t>
  </si>
  <si>
    <t>Transporte de material de excavación Distancia de transporte &gt; 50  km  MTOP</t>
  </si>
  <si>
    <t>Transporte de material de prestamo importado, Distancia de transporte &gt; 50  km  MTOP</t>
  </si>
  <si>
    <t>Abscisa 100+350 - 100+390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</si>
</sst>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&quot;$&quot;* #,##0.00_ ;_ &quot;$&quot;* \-#,##0.00_ ;_ &quot;$&quot;* &quot;-&quot;??_ ;_ @_ "/>
    <numFmt numFmtId="165" formatCode="_ * #,##0.00_ ;_ * \-#,##0.00_ ;_ * &quot;-&quot;??_ ;_ @_ "/>
    <numFmt numFmtId="166" formatCode="_-* #,##0.00_-;\-* #,##0.00_-;_-* &quot;-&quot;??_-;_-@_-"/>
    <numFmt numFmtId="167" formatCode="_-[$$-80A]* #,##0.00_-;\-[$$-80A]* #,##0.00_-;_-[$$-80A]* &quot;-&quot;??_-;_-@_-"/>
    <numFmt numFmtId="168" formatCode="#,##0.0000"/>
    <numFmt numFmtId="169" formatCode="#,#00"/>
    <numFmt numFmtId="170" formatCode="m&quot;ont&quot;h\ d&quot;, yyyy&quot;"/>
    <numFmt numFmtId="171" formatCode="_-&quot;$&quot;\ * #,##0.00_-;\-&quot;$&quot;\ * #,##0.00_-;_-&quot;$&quot;\ * &quot;-&quot;??_-;_-@_-"/>
    <numFmt numFmtId="172" formatCode="#,##0.00&quot;    &quot;;\-#,##0.00&quot;    &quot;;&quot; -&quot;#&quot;    &quot;;@\ "/>
    <numFmt numFmtId="173" formatCode="#,"/>
    <numFmt numFmtId="174" formatCode="_-* #,##0.00\ _€_-;\-* #,##0.00\ _€_-;_-* &quot;-&quot;??\ _€_-;_-@_-"/>
    <numFmt numFmtId="175" formatCode="#,##0.00\ _€"/>
    <numFmt numFmtId="176" formatCode="[$$-300A]\ #,##0.00"/>
    <numFmt numFmtId="177" formatCode="0\+000.00"/>
    <numFmt numFmtId="178" formatCode="_-* #,##0.00\ &quot;Pta&quot;_-;\-* #,##0.00\ &quot;Pta&quot;_-;_-* &quot;-&quot;??\ &quot;Pta&quot;_-;_-@_-"/>
    <numFmt numFmtId="179" formatCode="General_)"/>
    <numFmt numFmtId="180" formatCode="0&quot;+&quot;000.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"/>
      <color indexed="8"/>
      <name val="Courier New"/>
      <family val="3"/>
    </font>
    <font>
      <i/>
      <sz val="11"/>
      <color indexed="23"/>
      <name val="Calibri"/>
      <family val="2"/>
    </font>
    <font>
      <i/>
      <sz val="1"/>
      <color indexed="8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sz val="10"/>
      <color indexed="8"/>
      <name val="Arial Narrow"/>
      <family val="2"/>
    </font>
    <font>
      <sz val="10"/>
      <name val="Helv"/>
      <family val="0"/>
    </font>
    <font>
      <sz val="10"/>
      <name val="Courier"/>
      <family val="3"/>
    </font>
    <font>
      <b/>
      <sz val="11"/>
      <color indexed="63"/>
      <name val="Calibri"/>
      <family val="2"/>
    </font>
    <font>
      <sz val="12"/>
      <name val="Tms Rmn"/>
      <family val="0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2"/>
      <color indexed="8"/>
      <name val="Times New Roman"/>
      <family val="1"/>
    </font>
    <font>
      <sz val="11"/>
      <color indexed="8"/>
      <name val="Arial Narrow"/>
      <family val="2"/>
    </font>
    <font>
      <b/>
      <i/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theme="1"/>
      <name val="Arial Narrow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2"/>
      <color theme="1"/>
      <name val="Times New Roman"/>
      <family val="1"/>
    </font>
    <font>
      <sz val="11"/>
      <color theme="1"/>
      <name val="Arial Narrow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i/>
      <sz val="14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45" fillId="38" borderId="0" applyNumberFormat="0" applyBorder="0" applyAlignment="0" applyProtection="0"/>
    <xf numFmtId="0" fontId="15" fillId="39" borderId="1" applyNumberFormat="0" applyAlignment="0" applyProtection="0"/>
    <xf numFmtId="0" fontId="46" fillId="40" borderId="2" applyNumberFormat="0" applyAlignment="0" applyProtection="0"/>
    <xf numFmtId="0" fontId="47" fillId="41" borderId="3" applyNumberFormat="0" applyAlignment="0" applyProtection="0"/>
    <xf numFmtId="0" fontId="48" fillId="0" borderId="4" applyNumberFormat="0" applyFill="0" applyAlignment="0" applyProtection="0"/>
    <xf numFmtId="168" fontId="1" fillId="0" borderId="0" applyFill="0" applyBorder="0" applyAlignment="0" applyProtection="0"/>
    <xf numFmtId="169" fontId="1" fillId="0" borderId="0" applyFill="0" applyBorder="0" applyAlignment="0" applyProtection="0"/>
    <xf numFmtId="170" fontId="16" fillId="0" borderId="0">
      <alignment/>
      <protection locked="0"/>
    </xf>
    <xf numFmtId="0" fontId="49" fillId="0" borderId="0" applyNumberFormat="0" applyFill="0" applyBorder="0" applyAlignment="0" applyProtection="0"/>
    <xf numFmtId="0" fontId="44" fillId="42" borderId="0" applyNumberFormat="0" applyBorder="0" applyAlignment="0" applyProtection="0"/>
    <xf numFmtId="0" fontId="13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50" fillId="49" borderId="2" applyNumberFormat="0" applyAlignment="0" applyProtection="0"/>
    <xf numFmtId="171" fontId="2" fillId="0" borderId="0" applyFont="0" applyFill="0" applyBorder="0" applyAlignment="0" applyProtection="0"/>
    <xf numFmtId="172" fontId="2" fillId="0" borderId="0">
      <alignment/>
      <protection/>
    </xf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16" fillId="0" borderId="0">
      <alignment/>
      <protection locked="0"/>
    </xf>
    <xf numFmtId="0" fontId="16" fillId="0" borderId="0">
      <alignment/>
      <protection locked="0"/>
    </xf>
    <xf numFmtId="0" fontId="18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8" fillId="0" borderId="0">
      <alignment/>
      <protection locked="0"/>
    </xf>
    <xf numFmtId="169" fontId="16" fillId="0" borderId="0">
      <alignment/>
      <protection locked="0"/>
    </xf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173" fontId="22" fillId="0" borderId="0">
      <alignment/>
      <protection locked="0"/>
    </xf>
    <xf numFmtId="173" fontId="22" fillId="0" borderId="0">
      <alignment/>
      <protection locked="0"/>
    </xf>
    <xf numFmtId="0" fontId="51" fillId="5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52" fillId="51" borderId="0" applyNumberFormat="0" applyBorder="0" applyAlignment="0" applyProtection="0"/>
    <xf numFmtId="179" fontId="24" fillId="0" borderId="0">
      <alignment/>
      <protection/>
    </xf>
    <xf numFmtId="18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5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25" fillId="0" borderId="0">
      <alignment/>
      <protection/>
    </xf>
    <xf numFmtId="180" fontId="2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180" fontId="25" fillId="0" borderId="0">
      <alignment/>
      <protection/>
    </xf>
    <xf numFmtId="0" fontId="0" fillId="52" borderId="8" applyNumberFormat="0" applyFont="0" applyAlignment="0" applyProtection="0"/>
    <xf numFmtId="0" fontId="26" fillId="39" borderId="9" applyNumberFormat="0" applyAlignment="0" applyProtection="0"/>
    <xf numFmtId="9" fontId="1" fillId="0" borderId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40" borderId="10" applyNumberFormat="0" applyAlignment="0" applyProtection="0"/>
    <xf numFmtId="0" fontId="27" fillId="0" borderId="0" applyNumberFormat="0" applyFill="0" applyBorder="0" applyAlignment="0"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49" fillId="0" borderId="13" applyNumberFormat="0" applyFill="0" applyAlignment="0" applyProtection="0"/>
    <xf numFmtId="0" fontId="61" fillId="0" borderId="14" applyNumberFormat="0" applyFill="0" applyAlignment="0" applyProtection="0"/>
  </cellStyleXfs>
  <cellXfs count="136">
    <xf numFmtId="0" fontId="0" fillId="0" borderId="0" xfId="0" applyFont="1" applyAlignment="1">
      <alignment/>
    </xf>
    <xf numFmtId="0" fontId="3" fillId="53" borderId="0" xfId="134" applyFont="1" applyFill="1" applyAlignment="1">
      <alignment vertical="center"/>
      <protection/>
    </xf>
    <xf numFmtId="0" fontId="2" fillId="0" borderId="0" xfId="134" applyAlignment="1">
      <alignment vertical="center"/>
      <protection/>
    </xf>
    <xf numFmtId="0" fontId="3" fillId="53" borderId="0" xfId="134" applyFont="1" applyFill="1" applyAlignment="1">
      <alignment horizontal="left" vertical="center"/>
      <protection/>
    </xf>
    <xf numFmtId="4" fontId="2" fillId="0" borderId="0" xfId="134" applyNumberFormat="1" applyAlignment="1">
      <alignment vertical="center"/>
      <protection/>
    </xf>
    <xf numFmtId="0" fontId="4" fillId="0" borderId="15" xfId="134" applyFont="1" applyBorder="1" applyAlignment="1">
      <alignment horizontal="center" vertical="center"/>
      <protection/>
    </xf>
    <xf numFmtId="4" fontId="5" fillId="0" borderId="15" xfId="134" applyNumberFormat="1" applyFont="1" applyBorder="1" applyAlignment="1">
      <alignment horizontal="center" vertical="center" wrapText="1"/>
      <protection/>
    </xf>
    <xf numFmtId="0" fontId="6" fillId="0" borderId="15" xfId="134" applyFont="1" applyBorder="1" applyAlignment="1">
      <alignment horizontal="center" vertical="center" wrapText="1"/>
      <protection/>
    </xf>
    <xf numFmtId="0" fontId="2" fillId="0" borderId="15" xfId="134" applyFont="1" applyBorder="1" applyAlignment="1">
      <alignment horizontal="center" vertical="center" wrapText="1"/>
      <protection/>
    </xf>
    <xf numFmtId="164" fontId="2" fillId="0" borderId="15" xfId="122" applyFont="1" applyBorder="1" applyAlignment="1">
      <alignment horizontal="right" vertical="center" wrapText="1"/>
    </xf>
    <xf numFmtId="0" fontId="62" fillId="0" borderId="0" xfId="134" applyFont="1" applyAlignment="1">
      <alignment vertical="center"/>
      <protection/>
    </xf>
    <xf numFmtId="164" fontId="6" fillId="0" borderId="15" xfId="122" applyFont="1" applyBorder="1" applyAlignment="1">
      <alignment horizontal="right" vertical="center" wrapText="1"/>
    </xf>
    <xf numFmtId="165" fontId="0" fillId="0" borderId="0" xfId="96" applyFont="1" applyBorder="1" applyAlignment="1">
      <alignment vertical="center"/>
    </xf>
    <xf numFmtId="166" fontId="62" fillId="0" borderId="0" xfId="93" applyFont="1" applyAlignment="1">
      <alignment vertical="center"/>
    </xf>
    <xf numFmtId="4" fontId="7" fillId="0" borderId="0" xfId="134" applyNumberFormat="1" applyFont="1" applyAlignment="1">
      <alignment vertical="center"/>
      <protection/>
    </xf>
    <xf numFmtId="0" fontId="5" fillId="0" borderId="0" xfId="134" applyFont="1" applyAlignment="1">
      <alignment vertical="center"/>
      <protection/>
    </xf>
    <xf numFmtId="2" fontId="63" fillId="0" borderId="16" xfId="0" applyNumberFormat="1" applyFont="1" applyBorder="1" applyAlignment="1">
      <alignment vertical="center" wrapText="1"/>
    </xf>
    <xf numFmtId="0" fontId="64" fillId="0" borderId="17" xfId="0" applyFont="1" applyBorder="1" applyAlignment="1">
      <alignment vertical="center"/>
    </xf>
    <xf numFmtId="2" fontId="63" fillId="0" borderId="18" xfId="0" applyNumberFormat="1" applyFont="1" applyBorder="1" applyAlignment="1">
      <alignment vertical="center" wrapText="1"/>
    </xf>
    <xf numFmtId="2" fontId="63" fillId="0" borderId="19" xfId="0" applyNumberFormat="1" applyFont="1" applyBorder="1" applyAlignment="1">
      <alignment vertical="center" wrapText="1"/>
    </xf>
    <xf numFmtId="1" fontId="65" fillId="18" borderId="20" xfId="0" applyNumberFormat="1" applyFont="1" applyFill="1" applyBorder="1" applyAlignment="1">
      <alignment horizontal="center" vertical="center" wrapText="1"/>
    </xf>
    <xf numFmtId="2" fontId="66" fillId="18" borderId="21" xfId="0" applyNumberFormat="1" applyFont="1" applyFill="1" applyBorder="1" applyAlignment="1">
      <alignment horizontal="center" vertical="center" wrapText="1"/>
    </xf>
    <xf numFmtId="167" fontId="66" fillId="18" borderId="21" xfId="0" applyNumberFormat="1" applyFont="1" applyFill="1" applyBorder="1" applyAlignment="1">
      <alignment horizontal="center" vertical="center" wrapText="1"/>
    </xf>
    <xf numFmtId="44" fontId="66" fillId="18" borderId="22" xfId="125" applyFont="1" applyFill="1" applyBorder="1" applyAlignment="1">
      <alignment horizontal="center" vertical="center" wrapText="1"/>
    </xf>
    <xf numFmtId="1" fontId="66" fillId="8" borderId="23" xfId="0" applyNumberFormat="1" applyFont="1" applyFill="1" applyBorder="1" applyAlignment="1">
      <alignment horizontal="center" vertical="center" wrapText="1"/>
    </xf>
    <xf numFmtId="2" fontId="66" fillId="8" borderId="15" xfId="0" applyNumberFormat="1" applyFont="1" applyFill="1" applyBorder="1" applyAlignment="1">
      <alignment horizontal="center" vertical="center" wrapText="1"/>
    </xf>
    <xf numFmtId="167" fontId="66" fillId="8" borderId="15" xfId="0" applyNumberFormat="1" applyFont="1" applyFill="1" applyBorder="1" applyAlignment="1">
      <alignment horizontal="center" vertical="center" wrapText="1"/>
    </xf>
    <xf numFmtId="44" fontId="66" fillId="8" borderId="24" xfId="125" applyFont="1" applyFill="1" applyBorder="1" applyAlignment="1">
      <alignment horizontal="center" vertical="center" wrapText="1"/>
    </xf>
    <xf numFmtId="1" fontId="67" fillId="0" borderId="23" xfId="0" applyNumberFormat="1" applyFont="1" applyBorder="1" applyAlignment="1">
      <alignment horizontal="center" vertical="center" wrapText="1"/>
    </xf>
    <xf numFmtId="2" fontId="8" fillId="0" borderId="15" xfId="130" applyNumberFormat="1" applyFont="1" applyBorder="1" applyAlignment="1">
      <alignment horizontal="center" vertical="center" wrapText="1"/>
      <protection/>
    </xf>
    <xf numFmtId="2" fontId="8" fillId="0" borderId="15" xfId="130" applyNumberFormat="1" applyFont="1" applyBorder="1" applyAlignment="1">
      <alignment horizontal="left" vertical="center" wrapText="1"/>
      <protection/>
    </xf>
    <xf numFmtId="167" fontId="67" fillId="0" borderId="15" xfId="0" applyNumberFormat="1" applyFont="1" applyBorder="1" applyAlignment="1">
      <alignment horizontal="center" vertical="center" wrapText="1"/>
    </xf>
    <xf numFmtId="44" fontId="67" fillId="0" borderId="24" xfId="125" applyFont="1" applyFill="1" applyBorder="1" applyAlignment="1">
      <alignment horizontal="center" vertical="center" wrapText="1"/>
    </xf>
    <xf numFmtId="1" fontId="67" fillId="53" borderId="23" xfId="0" applyNumberFormat="1" applyFont="1" applyFill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53" borderId="15" xfId="0" applyFont="1" applyFill="1" applyBorder="1" applyAlignment="1">
      <alignment vertical="center" wrapText="1"/>
    </xf>
    <xf numFmtId="0" fontId="67" fillId="53" borderId="15" xfId="0" applyFont="1" applyFill="1" applyBorder="1" applyAlignment="1">
      <alignment horizontal="center" vertical="center"/>
    </xf>
    <xf numFmtId="2" fontId="67" fillId="53" borderId="15" xfId="0" applyNumberFormat="1" applyFont="1" applyFill="1" applyBorder="1" applyAlignment="1">
      <alignment horizontal="center" vertical="center"/>
    </xf>
    <xf numFmtId="167" fontId="67" fillId="53" borderId="15" xfId="0" applyNumberFormat="1" applyFont="1" applyFill="1" applyBorder="1" applyAlignment="1">
      <alignment horizontal="center" vertical="center" wrapText="1"/>
    </xf>
    <xf numFmtId="2" fontId="8" fillId="53" borderId="15" xfId="130" applyNumberFormat="1" applyFont="1" applyFill="1" applyBorder="1" applyAlignment="1">
      <alignment horizontal="left" vertical="center" wrapText="1"/>
      <protection/>
    </xf>
    <xf numFmtId="2" fontId="8" fillId="53" borderId="15" xfId="130" applyNumberFormat="1" applyFont="1" applyFill="1" applyBorder="1" applyAlignment="1">
      <alignment horizontal="center" vertical="center" wrapText="1"/>
      <protection/>
    </xf>
    <xf numFmtId="1" fontId="66" fillId="53" borderId="23" xfId="0" applyNumberFormat="1" applyFont="1" applyFill="1" applyBorder="1" applyAlignment="1">
      <alignment horizontal="center" vertical="center" wrapText="1"/>
    </xf>
    <xf numFmtId="2" fontId="67" fillId="53" borderId="15" xfId="0" applyNumberFormat="1" applyFont="1" applyFill="1" applyBorder="1" applyAlignment="1">
      <alignment horizontal="center" vertical="center" wrapText="1"/>
    </xf>
    <xf numFmtId="2" fontId="67" fillId="0" borderId="15" xfId="0" applyNumberFormat="1" applyFont="1" applyBorder="1" applyAlignment="1">
      <alignment horizontal="left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2" fontId="67" fillId="0" borderId="15" xfId="0" applyNumberFormat="1" applyFont="1" applyBorder="1" applyAlignment="1">
      <alignment horizontal="center" vertical="center" wrapText="1"/>
    </xf>
    <xf numFmtId="2" fontId="8" fillId="53" borderId="15" xfId="0" applyNumberFormat="1" applyFont="1" applyFill="1" applyBorder="1" applyAlignment="1">
      <alignment horizontal="left" vertical="center" wrapText="1"/>
    </xf>
    <xf numFmtId="2" fontId="8" fillId="53" borderId="15" xfId="0" applyNumberFormat="1" applyFont="1" applyFill="1" applyBorder="1" applyAlignment="1">
      <alignment horizontal="center" vertical="center" wrapText="1"/>
    </xf>
    <xf numFmtId="167" fontId="8" fillId="53" borderId="15" xfId="130" applyNumberFormat="1" applyFont="1" applyFill="1" applyBorder="1" applyAlignment="1">
      <alignment horizontal="center" vertical="center" wrapText="1"/>
      <protection/>
    </xf>
    <xf numFmtId="167" fontId="67" fillId="53" borderId="24" xfId="0" applyNumberFormat="1" applyFont="1" applyFill="1" applyBorder="1" applyAlignment="1">
      <alignment horizontal="center" vertical="center" wrapText="1"/>
    </xf>
    <xf numFmtId="0" fontId="67" fillId="53" borderId="15" xfId="0" applyFont="1" applyFill="1" applyBorder="1" applyAlignment="1">
      <alignment horizontal="center" vertical="center" wrapText="1"/>
    </xf>
    <xf numFmtId="0" fontId="67" fillId="0" borderId="15" xfId="0" applyFont="1" applyBorder="1" applyAlignment="1">
      <alignment vertical="center" wrapText="1"/>
    </xf>
    <xf numFmtId="2" fontId="67" fillId="53" borderId="15" xfId="130" applyNumberFormat="1" applyFont="1" applyFill="1" applyBorder="1" applyAlignment="1">
      <alignment horizontal="left" vertical="center" wrapText="1"/>
      <protection/>
    </xf>
    <xf numFmtId="164" fontId="0" fillId="0" borderId="0" xfId="0" applyNumberFormat="1" applyAlignment="1">
      <alignment/>
    </xf>
    <xf numFmtId="1" fontId="67" fillId="0" borderId="0" xfId="0" applyNumberFormat="1" applyFont="1" applyAlignment="1">
      <alignment horizontal="center" vertical="center" wrapText="1"/>
    </xf>
    <xf numFmtId="2" fontId="67" fillId="0" borderId="0" xfId="0" applyNumberFormat="1" applyFont="1" applyAlignment="1">
      <alignment horizontal="center" vertical="center" wrapText="1"/>
    </xf>
    <xf numFmtId="2" fontId="67" fillId="0" borderId="0" xfId="0" applyNumberFormat="1" applyFont="1" applyAlignment="1">
      <alignment horizontal="left" vertical="center" wrapText="1"/>
    </xf>
    <xf numFmtId="44" fontId="66" fillId="53" borderId="25" xfId="125" applyFont="1" applyFill="1" applyBorder="1" applyAlignment="1">
      <alignment horizontal="center" vertical="center" wrapText="1"/>
    </xf>
    <xf numFmtId="0" fontId="66" fillId="0" borderId="15" xfId="0" applyFont="1" applyBorder="1" applyAlignment="1">
      <alignment vertical="center" wrapText="1"/>
    </xf>
    <xf numFmtId="0" fontId="66" fillId="53" borderId="15" xfId="0" applyFont="1" applyFill="1" applyBorder="1" applyAlignment="1">
      <alignment vertical="center" wrapText="1"/>
    </xf>
    <xf numFmtId="1" fontId="66" fillId="18" borderId="20" xfId="0" applyNumberFormat="1" applyFont="1" applyFill="1" applyBorder="1" applyAlignment="1">
      <alignment horizontal="center" vertical="center" wrapText="1"/>
    </xf>
    <xf numFmtId="0" fontId="0" fillId="53" borderId="0" xfId="0" applyFill="1" applyAlignment="1">
      <alignment/>
    </xf>
    <xf numFmtId="44" fontId="67" fillId="53" borderId="24" xfId="125" applyFont="1" applyFill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left" vertical="center" wrapText="1"/>
    </xf>
    <xf numFmtId="0" fontId="66" fillId="0" borderId="15" xfId="0" applyFont="1" applyBorder="1" applyAlignment="1">
      <alignment horizontal="center" vertical="center" wrapText="1"/>
    </xf>
    <xf numFmtId="44" fontId="66" fillId="53" borderId="24" xfId="125" applyFont="1" applyFill="1" applyBorder="1" applyAlignment="1">
      <alignment horizontal="center" vertical="center" wrapText="1"/>
    </xf>
    <xf numFmtId="2" fontId="11" fillId="53" borderId="15" xfId="130" applyNumberFormat="1" applyFont="1" applyFill="1" applyBorder="1" applyAlignment="1">
      <alignment horizontal="left" vertical="center" wrapText="1"/>
      <protection/>
    </xf>
    <xf numFmtId="2" fontId="67" fillId="53" borderId="15" xfId="0" applyNumberFormat="1" applyFont="1" applyFill="1" applyBorder="1" applyAlignment="1">
      <alignment horizontal="left" vertical="center" wrapText="1"/>
    </xf>
    <xf numFmtId="2" fontId="11" fillId="53" borderId="15" xfId="0" applyNumberFormat="1" applyFont="1" applyFill="1" applyBorder="1" applyAlignment="1">
      <alignment horizontal="left" vertical="center" wrapText="1"/>
    </xf>
    <xf numFmtId="2" fontId="67" fillId="53" borderId="0" xfId="0" applyNumberFormat="1" applyFont="1" applyFill="1" applyAlignment="1">
      <alignment horizontal="left" vertical="center" wrapText="1"/>
    </xf>
    <xf numFmtId="2" fontId="67" fillId="53" borderId="0" xfId="0" applyNumberFormat="1" applyFont="1" applyFill="1" applyAlignment="1">
      <alignment horizontal="center" vertical="center" wrapText="1"/>
    </xf>
    <xf numFmtId="2" fontId="66" fillId="53" borderId="15" xfId="0" applyNumberFormat="1" applyFont="1" applyFill="1" applyBorder="1" applyAlignment="1">
      <alignment horizontal="center" vertical="center" wrapText="1"/>
    </xf>
    <xf numFmtId="167" fontId="66" fillId="53" borderId="15" xfId="0" applyNumberFormat="1" applyFont="1" applyFill="1" applyBorder="1" applyAlignment="1">
      <alignment horizontal="center" vertical="center" wrapText="1"/>
    </xf>
    <xf numFmtId="0" fontId="67" fillId="53" borderId="26" xfId="0" applyFont="1" applyFill="1" applyBorder="1" applyAlignment="1">
      <alignment horizontal="left" vertical="center" wrapText="1"/>
    </xf>
    <xf numFmtId="0" fontId="67" fillId="53" borderId="27" xfId="0" applyFont="1" applyFill="1" applyBorder="1" applyAlignment="1">
      <alignment horizontal="center" vertical="center" wrapText="1"/>
    </xf>
    <xf numFmtId="4" fontId="67" fillId="53" borderId="28" xfId="0" applyNumberFormat="1" applyFont="1" applyFill="1" applyBorder="1" applyAlignment="1">
      <alignment horizontal="center" vertical="center"/>
    </xf>
    <xf numFmtId="44" fontId="10" fillId="53" borderId="28" xfId="125" applyFont="1" applyFill="1" applyBorder="1" applyAlignment="1">
      <alignment horizontal="right" vertical="center" wrapText="1"/>
    </xf>
    <xf numFmtId="0" fontId="68" fillId="0" borderId="0" xfId="0" applyFont="1" applyAlignment="1">
      <alignment/>
    </xf>
    <xf numFmtId="0" fontId="69" fillId="0" borderId="0" xfId="0" applyFont="1" applyBorder="1" applyAlignment="1">
      <alignment horizontal="left" vertical="center" wrapText="1"/>
    </xf>
    <xf numFmtId="0" fontId="68" fillId="0" borderId="0" xfId="0" applyFont="1" applyBorder="1" applyAlignment="1">
      <alignment vertical="center" wrapText="1"/>
    </xf>
    <xf numFmtId="0" fontId="68" fillId="0" borderId="0" xfId="0" applyFont="1" applyBorder="1" applyAlignment="1">
      <alignment horizontal="left" vertical="center" wrapText="1"/>
    </xf>
    <xf numFmtId="2" fontId="68" fillId="0" borderId="0" xfId="0" applyNumberFormat="1" applyFont="1" applyBorder="1" applyAlignment="1">
      <alignment vertical="center" wrapText="1"/>
    </xf>
    <xf numFmtId="0" fontId="68" fillId="0" borderId="0" xfId="0" applyFont="1" applyAlignment="1">
      <alignment horizontal="right"/>
    </xf>
    <xf numFmtId="4" fontId="68" fillId="0" borderId="0" xfId="0" applyNumberFormat="1" applyFont="1" applyBorder="1" applyAlignment="1">
      <alignment horizontal="left" vertical="center" wrapText="1"/>
    </xf>
    <xf numFmtId="0" fontId="69" fillId="0" borderId="29" xfId="0" applyFont="1" applyBorder="1" applyAlignment="1">
      <alignment horizontal="center"/>
    </xf>
    <xf numFmtId="0" fontId="69" fillId="0" borderId="15" xfId="0" applyFont="1" applyBorder="1" applyAlignment="1">
      <alignment horizontal="center" vertical="center"/>
    </xf>
    <xf numFmtId="0" fontId="69" fillId="0" borderId="30" xfId="0" applyFont="1" applyBorder="1" applyAlignment="1">
      <alignment horizontal="center"/>
    </xf>
    <xf numFmtId="0" fontId="69" fillId="0" borderId="31" xfId="0" applyFont="1" applyBorder="1" applyAlignment="1">
      <alignment horizontal="center"/>
    </xf>
    <xf numFmtId="0" fontId="69" fillId="0" borderId="29" xfId="0" applyFont="1" applyBorder="1" applyAlignment="1">
      <alignment/>
    </xf>
    <xf numFmtId="0" fontId="68" fillId="0" borderId="15" xfId="0" applyFont="1" applyBorder="1" applyAlignment="1">
      <alignment/>
    </xf>
    <xf numFmtId="0" fontId="69" fillId="0" borderId="30" xfId="0" applyFont="1" applyBorder="1" applyAlignment="1">
      <alignment wrapText="1"/>
    </xf>
    <xf numFmtId="0" fontId="69" fillId="0" borderId="31" xfId="0" applyFont="1" applyBorder="1" applyAlignment="1">
      <alignment/>
    </xf>
    <xf numFmtId="4" fontId="69" fillId="0" borderId="31" xfId="0" applyNumberFormat="1" applyFont="1" applyBorder="1" applyAlignment="1">
      <alignment/>
    </xf>
    <xf numFmtId="0" fontId="68" fillId="0" borderId="15" xfId="0" applyFont="1" applyBorder="1" applyAlignment="1">
      <alignment horizontal="center"/>
    </xf>
    <xf numFmtId="0" fontId="69" fillId="53" borderId="30" xfId="0" applyFont="1" applyFill="1" applyBorder="1" applyAlignment="1">
      <alignment wrapText="1"/>
    </xf>
    <xf numFmtId="0" fontId="69" fillId="53" borderId="31" xfId="0" applyFont="1" applyFill="1" applyBorder="1" applyAlignment="1">
      <alignment horizontal="center"/>
    </xf>
    <xf numFmtId="4" fontId="69" fillId="53" borderId="31" xfId="0" applyNumberFormat="1" applyFont="1" applyFill="1" applyBorder="1" applyAlignment="1">
      <alignment/>
    </xf>
    <xf numFmtId="0" fontId="68" fillId="0" borderId="29" xfId="0" applyFont="1" applyBorder="1" applyAlignment="1">
      <alignment vertical="center"/>
    </xf>
    <xf numFmtId="0" fontId="68" fillId="0" borderId="15" xfId="0" applyFont="1" applyBorder="1" applyAlignment="1">
      <alignment horizontal="center" vertical="center"/>
    </xf>
    <xf numFmtId="0" fontId="68" fillId="53" borderId="30" xfId="0" applyFont="1" applyFill="1" applyBorder="1" applyAlignment="1">
      <alignment wrapText="1"/>
    </xf>
    <xf numFmtId="0" fontId="68" fillId="53" borderId="31" xfId="0" applyFont="1" applyFill="1" applyBorder="1" applyAlignment="1">
      <alignment horizontal="center"/>
    </xf>
    <xf numFmtId="4" fontId="68" fillId="53" borderId="31" xfId="0" applyNumberFormat="1" applyFont="1" applyFill="1" applyBorder="1" applyAlignment="1">
      <alignment/>
    </xf>
    <xf numFmtId="0" fontId="69" fillId="0" borderId="29" xfId="0" applyFont="1" applyBorder="1" applyAlignment="1">
      <alignment vertical="center"/>
    </xf>
    <xf numFmtId="0" fontId="68" fillId="53" borderId="30" xfId="0" applyFont="1" applyFill="1" applyBorder="1" applyAlignment="1">
      <alignment vertical="center" wrapText="1"/>
    </xf>
    <xf numFmtId="4" fontId="68" fillId="0" borderId="0" xfId="0" applyNumberFormat="1" applyFont="1" applyAlignment="1">
      <alignment/>
    </xf>
    <xf numFmtId="0" fontId="68" fillId="53" borderId="30" xfId="0" applyFont="1" applyFill="1" applyBorder="1" applyAlignment="1">
      <alignment/>
    </xf>
    <xf numFmtId="0" fontId="69" fillId="53" borderId="31" xfId="0" applyFont="1" applyFill="1" applyBorder="1" applyAlignment="1">
      <alignment/>
    </xf>
    <xf numFmtId="0" fontId="68" fillId="53" borderId="0" xfId="0" applyFont="1" applyFill="1" applyAlignment="1">
      <alignment/>
    </xf>
    <xf numFmtId="0" fontId="69" fillId="0" borderId="0" xfId="0" applyFont="1" applyAlignment="1">
      <alignment horizontal="right"/>
    </xf>
    <xf numFmtId="0" fontId="69" fillId="0" borderId="0" xfId="0" applyFont="1" applyAlignment="1">
      <alignment/>
    </xf>
    <xf numFmtId="0" fontId="68" fillId="53" borderId="15" xfId="0" applyFont="1" applyFill="1" applyBorder="1" applyAlignment="1">
      <alignment horizontal="center" vertical="center"/>
    </xf>
    <xf numFmtId="2" fontId="7" fillId="53" borderId="15" xfId="0" applyNumberFormat="1" applyFont="1" applyFill="1" applyBorder="1" applyAlignment="1">
      <alignment horizontal="left" vertical="center" wrapText="1"/>
    </xf>
    <xf numFmtId="4" fontId="68" fillId="0" borderId="31" xfId="0" applyNumberFormat="1" applyFont="1" applyBorder="1" applyAlignment="1">
      <alignment/>
    </xf>
    <xf numFmtId="0" fontId="68" fillId="0" borderId="30" xfId="0" applyFont="1" applyBorder="1" applyAlignment="1">
      <alignment/>
    </xf>
    <xf numFmtId="0" fontId="3" fillId="53" borderId="0" xfId="134" applyFont="1" applyFill="1" applyAlignment="1">
      <alignment horizontal="center" vertical="center"/>
      <protection/>
    </xf>
    <xf numFmtId="0" fontId="5" fillId="0" borderId="32" xfId="134" applyFont="1" applyBorder="1" applyAlignment="1">
      <alignment horizontal="center" vertical="center" wrapText="1"/>
      <protection/>
    </xf>
    <xf numFmtId="0" fontId="5" fillId="0" borderId="33" xfId="134" applyFont="1" applyBorder="1" applyAlignment="1">
      <alignment horizontal="center" vertical="center" wrapText="1"/>
      <protection/>
    </xf>
    <xf numFmtId="0" fontId="6" fillId="0" borderId="15" xfId="134" applyFont="1" applyBorder="1" applyAlignment="1">
      <alignment horizontal="center" vertical="center" wrapText="1"/>
      <protection/>
    </xf>
    <xf numFmtId="0" fontId="6" fillId="0" borderId="15" xfId="134" applyFont="1" applyBorder="1" applyAlignment="1">
      <alignment horizontal="right" vertical="center"/>
      <protection/>
    </xf>
    <xf numFmtId="2" fontId="63" fillId="0" borderId="34" xfId="0" applyNumberFormat="1" applyFont="1" applyBorder="1" applyAlignment="1">
      <alignment horizontal="center" vertical="center" wrapText="1"/>
    </xf>
    <xf numFmtId="2" fontId="63" fillId="0" borderId="17" xfId="0" applyNumberFormat="1" applyFont="1" applyBorder="1" applyAlignment="1">
      <alignment horizontal="center" vertical="center" wrapText="1"/>
    </xf>
    <xf numFmtId="2" fontId="63" fillId="0" borderId="35" xfId="0" applyNumberFormat="1" applyFont="1" applyBorder="1" applyAlignment="1">
      <alignment horizontal="center" vertical="center" wrapText="1"/>
    </xf>
    <xf numFmtId="2" fontId="63" fillId="54" borderId="34" xfId="0" applyNumberFormat="1" applyFont="1" applyFill="1" applyBorder="1" applyAlignment="1">
      <alignment horizontal="center" vertical="center" wrapText="1"/>
    </xf>
    <xf numFmtId="2" fontId="63" fillId="54" borderId="17" xfId="0" applyNumberFormat="1" applyFont="1" applyFill="1" applyBorder="1" applyAlignment="1">
      <alignment horizontal="center" vertical="center" wrapText="1"/>
    </xf>
    <xf numFmtId="2" fontId="63" fillId="54" borderId="35" xfId="0" applyNumberFormat="1" applyFont="1" applyFill="1" applyBorder="1" applyAlignment="1">
      <alignment horizontal="center" vertical="center" wrapText="1"/>
    </xf>
    <xf numFmtId="2" fontId="70" fillId="53" borderId="36" xfId="0" applyNumberFormat="1" applyFont="1" applyFill="1" applyBorder="1" applyAlignment="1">
      <alignment horizontal="center" vertical="center" wrapText="1"/>
    </xf>
    <xf numFmtId="2" fontId="70" fillId="53" borderId="37" xfId="0" applyNumberFormat="1" applyFont="1" applyFill="1" applyBorder="1" applyAlignment="1">
      <alignment horizontal="center" vertical="center" wrapText="1"/>
    </xf>
    <xf numFmtId="2" fontId="70" fillId="53" borderId="38" xfId="0" applyNumberFormat="1" applyFont="1" applyFill="1" applyBorder="1" applyAlignment="1">
      <alignment horizontal="center" vertical="center" wrapText="1"/>
    </xf>
    <xf numFmtId="167" fontId="66" fillId="53" borderId="39" xfId="0" applyNumberFormat="1" applyFont="1" applyFill="1" applyBorder="1" applyAlignment="1">
      <alignment horizontal="center" vertical="center" wrapText="1"/>
    </xf>
    <xf numFmtId="167" fontId="66" fillId="53" borderId="40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0" borderId="0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left" vertical="center" wrapText="1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omma 2" xfId="63"/>
    <cellStyle name="Comma 3" xfId="64"/>
    <cellStyle name="Date" xfId="65"/>
    <cellStyle name="Encabezado 4" xfId="66"/>
    <cellStyle name="Énfasis1" xfId="67"/>
    <cellStyle name="Énfasis1 2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cel Built-in Comma" xfId="76"/>
    <cellStyle name="Excel Built-in Normal" xfId="77"/>
    <cellStyle name="Explanatory Text" xfId="78"/>
    <cellStyle name="F2" xfId="79"/>
    <cellStyle name="F3" xfId="80"/>
    <cellStyle name="F4" xfId="81"/>
    <cellStyle name="F5" xfId="82"/>
    <cellStyle name="F6" xfId="83"/>
    <cellStyle name="F7" xfId="84"/>
    <cellStyle name="F8" xfId="85"/>
    <cellStyle name="Fixed" xfId="86"/>
    <cellStyle name="Heading 1" xfId="87"/>
    <cellStyle name="Heading 2" xfId="88"/>
    <cellStyle name="Heading 3" xfId="89"/>
    <cellStyle name="Heading1" xfId="90"/>
    <cellStyle name="Heading2" xfId="91"/>
    <cellStyle name="Incorrecto" xfId="92"/>
    <cellStyle name="Comma" xfId="93"/>
    <cellStyle name="Comma [0]" xfId="94"/>
    <cellStyle name="Millares 10" xfId="95"/>
    <cellStyle name="Millares 11" xfId="96"/>
    <cellStyle name="Millares 2" xfId="97"/>
    <cellStyle name="Millares 2 2" xfId="98"/>
    <cellStyle name="Millares 2 2 2" xfId="99"/>
    <cellStyle name="Millares 2 2 2 2" xfId="100"/>
    <cellStyle name="Millares 2 2 2 2 2" xfId="101"/>
    <cellStyle name="Millares 2 2 2 2 3" xfId="102"/>
    <cellStyle name="Millares 2 2 2 3" xfId="103"/>
    <cellStyle name="Millares 2 2 3" xfId="104"/>
    <cellStyle name="Millares 2 2 4" xfId="105"/>
    <cellStyle name="Millares 2 3" xfId="106"/>
    <cellStyle name="Millares 2 4" xfId="107"/>
    <cellStyle name="Millares 2_Orden de cambio final" xfId="108"/>
    <cellStyle name="Millares 3" xfId="109"/>
    <cellStyle name="Millares 3 2" xfId="110"/>
    <cellStyle name="Millares 4" xfId="111"/>
    <cellStyle name="Millares 5" xfId="112"/>
    <cellStyle name="Millares 6" xfId="113"/>
    <cellStyle name="Millares 6 2" xfId="114"/>
    <cellStyle name="Millares 6 3" xfId="115"/>
    <cellStyle name="Millares 7" xfId="116"/>
    <cellStyle name="Millares 8" xfId="117"/>
    <cellStyle name="Millares 8 2" xfId="118"/>
    <cellStyle name="Millares 8 3" xfId="119"/>
    <cellStyle name="Millares 9" xfId="120"/>
    <cellStyle name="Millares 9 2" xfId="121"/>
    <cellStyle name="Currency" xfId="122"/>
    <cellStyle name="Currency [0]" xfId="123"/>
    <cellStyle name="Moneda 2" xfId="124"/>
    <cellStyle name="Moneda 2 2" xfId="125"/>
    <cellStyle name="Moneda 5" xfId="126"/>
    <cellStyle name="Neutral" xfId="127"/>
    <cellStyle name="Normal - Modelo1" xfId="128"/>
    <cellStyle name="Normal 10" xfId="129"/>
    <cellStyle name="Normal 10 2" xfId="130"/>
    <cellStyle name="Normal 11" xfId="131"/>
    <cellStyle name="Normal 12" xfId="132"/>
    <cellStyle name="Normal 13" xfId="133"/>
    <cellStyle name="Normal 14" xfId="134"/>
    <cellStyle name="Normal 2" xfId="135"/>
    <cellStyle name="Normal 2 2" xfId="136"/>
    <cellStyle name="Normal 2 3" xfId="137"/>
    <cellStyle name="Normal 2 4" xfId="138"/>
    <cellStyle name="Normal 2 5" xfId="139"/>
    <cellStyle name="Normal 2 6" xfId="140"/>
    <cellStyle name="Normal 2_licitacion-linea de conduccion-cedeño-2010" xfId="141"/>
    <cellStyle name="Normal 3" xfId="142"/>
    <cellStyle name="Normal 3 2" xfId="143"/>
    <cellStyle name="Normal 4" xfId="144"/>
    <cellStyle name="Normal 5" xfId="145"/>
    <cellStyle name="Normal 5 2" xfId="146"/>
    <cellStyle name="Normal 6" xfId="147"/>
    <cellStyle name="Normal 7" xfId="148"/>
    <cellStyle name="Normal 7 2" xfId="149"/>
    <cellStyle name="Normal 8" xfId="150"/>
    <cellStyle name="Normal 9" xfId="151"/>
    <cellStyle name="Notas" xfId="152"/>
    <cellStyle name="Output" xfId="153"/>
    <cellStyle name="Percent 2" xfId="154"/>
    <cellStyle name="Percent" xfId="155"/>
    <cellStyle name="Porcentual 2" xfId="156"/>
    <cellStyle name="Porcentual 2 2" xfId="157"/>
    <cellStyle name="Porcentual 3" xfId="158"/>
    <cellStyle name="Porcentual 3 2" xfId="159"/>
    <cellStyle name="Porcentual 4" xfId="160"/>
    <cellStyle name="Porcentual 4 2" xfId="161"/>
    <cellStyle name="Porcentual 4 3" xfId="162"/>
    <cellStyle name="Porcentual 5" xfId="163"/>
    <cellStyle name="Salida" xfId="164"/>
    <cellStyle name="Standard" xfId="165"/>
    <cellStyle name="Texto de advertencia" xfId="166"/>
    <cellStyle name="Texto explicativo" xfId="167"/>
    <cellStyle name="Title" xfId="168"/>
    <cellStyle name="Título" xfId="169"/>
    <cellStyle name="Título 1" xfId="170"/>
    <cellStyle name="Título 2" xfId="171"/>
    <cellStyle name="Título 3" xfId="172"/>
    <cellStyle name="Total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1581150</xdr:colOff>
      <xdr:row>3</xdr:row>
      <xdr:rowOff>114300</xdr:rowOff>
    </xdr:from>
    <xdr:to>
      <xdr:col>3</xdr:col>
      <xdr:colOff>1076325</xdr:colOff>
      <xdr:row>7</xdr:row>
      <xdr:rowOff>133350</xdr:rowOff>
    </xdr:to>
    <xdr:sp>
      <xdr:nvSpPr>
        <xdr:cNvPr id="1" name="Rectangle 1" descr="logoopcion1"/>
        <xdr:cNvSpPr>
          <a:spLocks/>
        </xdr:cNvSpPr>
      </xdr:nvSpPr>
      <xdr:spPr>
        <a:xfrm>
          <a:off x="3676650" y="771525"/>
          <a:ext cx="1228725" cy="8191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.3_Presupuestos%20de%20Puntos%20crit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C1"/>
      <sheetName val="RC2"/>
      <sheetName val="ALC T2"/>
      <sheetName val="RESUMEN"/>
      <sheetName val="PC 01"/>
      <sheetName val="PC 02"/>
      <sheetName val="PC 03"/>
      <sheetName val="PC 04"/>
      <sheetName val="PC 05"/>
      <sheetName val="PC 06"/>
      <sheetName val="PC 07"/>
      <sheetName val="PC 08"/>
      <sheetName val="PC 09"/>
      <sheetName val="PC 10"/>
      <sheetName val="RUBROS SN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DATOS"/>
      <sheetName val="RC3"/>
      <sheetName val="T4 A1"/>
      <sheetName val="T4 A2"/>
      <sheetName val="T4 A3"/>
      <sheetName val="T4 A4"/>
      <sheetName val="T4 A5"/>
      <sheetName val="ALC T4"/>
      <sheetName val="T6 A1"/>
      <sheetName val="T6 A2"/>
      <sheetName val="ALC T6"/>
      <sheetName val="RC6"/>
    </sheetNames>
    <sheetDataSet>
      <sheetData sheetId="30">
        <row r="2">
          <cell r="B2" t="str">
            <v>SUBSECRETARÍA ZONAL DE NAPO Y SUCUMBÍOS</v>
          </cell>
        </row>
      </sheetData>
      <sheetData sheetId="31">
        <row r="4">
          <cell r="C4" t="str">
            <v>Carretera "Y" de Baeza-Reventador-Lumbaquí</v>
          </cell>
        </row>
      </sheetData>
      <sheetData sheetId="40">
        <row r="2">
          <cell r="F2">
            <v>207.77</v>
          </cell>
        </row>
        <row r="3">
          <cell r="F3">
            <v>3.25</v>
          </cell>
        </row>
        <row r="4">
          <cell r="F4">
            <v>1.25</v>
          </cell>
        </row>
        <row r="7">
          <cell r="F7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31"/>
  <sheetViews>
    <sheetView tabSelected="1" view="pageBreakPreview" zoomScale="80" zoomScaleNormal="85" zoomScaleSheetLayoutView="80" zoomScalePageLayoutView="0" workbookViewId="0" topLeftCell="A1">
      <selection activeCell="F22" sqref="F22"/>
    </sheetView>
  </sheetViews>
  <sheetFormatPr defaultColWidth="11.421875" defaultRowHeight="15"/>
  <cols>
    <col min="1" max="1" width="15.421875" style="2" customWidth="1"/>
    <col min="2" max="2" width="16.00390625" style="2" customWidth="1"/>
    <col min="3" max="3" width="26.00390625" style="2" customWidth="1"/>
    <col min="4" max="4" width="19.8515625" style="4" customWidth="1"/>
    <col min="5" max="5" width="11.421875" style="2" customWidth="1"/>
    <col min="6" max="6" width="13.421875" style="2" bestFit="1" customWidth="1"/>
    <col min="7" max="16384" width="11.421875" style="2" customWidth="1"/>
  </cols>
  <sheetData>
    <row r="2" spans="1:10" ht="20.25">
      <c r="A2" s="115" t="s">
        <v>0</v>
      </c>
      <c r="B2" s="115"/>
      <c r="C2" s="115"/>
      <c r="D2" s="115"/>
      <c r="E2" s="1"/>
      <c r="F2" s="1"/>
      <c r="G2" s="1"/>
      <c r="H2" s="1"/>
      <c r="I2" s="1"/>
      <c r="J2" s="1"/>
    </row>
    <row r="3" spans="1:10" ht="20.25">
      <c r="A3" s="115" t="s">
        <v>1</v>
      </c>
      <c r="B3" s="115"/>
      <c r="C3" s="115"/>
      <c r="D3" s="115"/>
      <c r="E3" s="1"/>
      <c r="F3" s="1"/>
      <c r="G3" s="1"/>
      <c r="H3" s="1"/>
      <c r="I3" s="1"/>
      <c r="J3" s="1"/>
    </row>
    <row r="6" ht="20.25">
      <c r="A6" s="3" t="s">
        <v>2</v>
      </c>
    </row>
    <row r="13" spans="1:4" ht="60.75" customHeight="1">
      <c r="A13" s="5" t="s">
        <v>3</v>
      </c>
      <c r="B13" s="116" t="s">
        <v>4</v>
      </c>
      <c r="C13" s="117"/>
      <c r="D13" s="6" t="s">
        <v>5</v>
      </c>
    </row>
    <row r="14" spans="1:4" ht="14.25" customHeight="1">
      <c r="A14" s="118" t="s">
        <v>6</v>
      </c>
      <c r="B14" s="118"/>
      <c r="C14" s="118"/>
      <c r="D14" s="118"/>
    </row>
    <row r="15" spans="1:4" ht="14.25" customHeight="1">
      <c r="A15" s="7">
        <v>1</v>
      </c>
      <c r="B15" s="8" t="s">
        <v>7</v>
      </c>
      <c r="C15" s="8" t="str">
        <f>'PC 01'!$B$5</f>
        <v>16+800 – 16+900  </v>
      </c>
      <c r="D15" s="9">
        <f>'PC 01'!G30</f>
        <v>0</v>
      </c>
    </row>
    <row r="16" spans="1:4" ht="14.25" customHeight="1">
      <c r="A16" s="7">
        <v>2</v>
      </c>
      <c r="B16" s="8" t="s">
        <v>7</v>
      </c>
      <c r="C16" s="8" t="str">
        <f>'PC 02'!$B$5</f>
        <v>18+900 – 19+300 </v>
      </c>
      <c r="D16" s="9">
        <f>'PC 02'!G32</f>
        <v>0</v>
      </c>
    </row>
    <row r="17" spans="1:4" ht="14.25" customHeight="1">
      <c r="A17" s="7">
        <v>3</v>
      </c>
      <c r="B17" s="8" t="s">
        <v>7</v>
      </c>
      <c r="C17" s="8" t="str">
        <f>'PC 03'!$B$5</f>
        <v>31+400 – 31+465 </v>
      </c>
      <c r="D17" s="9">
        <f>'PC 03'!G36</f>
        <v>0</v>
      </c>
    </row>
    <row r="18" spans="1:4" ht="14.25" customHeight="1">
      <c r="A18" s="7">
        <v>4</v>
      </c>
      <c r="B18" s="8" t="s">
        <v>7</v>
      </c>
      <c r="C18" s="8" t="str">
        <f>'PC 04'!$B$5</f>
        <v>54+700 – 54+730 </v>
      </c>
      <c r="D18" s="9">
        <f>'PC 04'!G33</f>
        <v>0</v>
      </c>
    </row>
    <row r="19" spans="1:4" ht="14.25" customHeight="1">
      <c r="A19" s="7">
        <v>5</v>
      </c>
      <c r="B19" s="8" t="s">
        <v>7</v>
      </c>
      <c r="C19" s="8" t="str">
        <f>'PC 05'!$B$5</f>
        <v>64+700 – 64+720 </v>
      </c>
      <c r="D19" s="9">
        <f>'PC 05'!G33</f>
        <v>0</v>
      </c>
    </row>
    <row r="20" spans="1:4" ht="14.25" customHeight="1">
      <c r="A20" s="7">
        <v>6</v>
      </c>
      <c r="B20" s="8" t="s">
        <v>7</v>
      </c>
      <c r="C20" s="8" t="str">
        <f>'PC 06'!$B$5</f>
        <v>68+800 – 68+850</v>
      </c>
      <c r="D20" s="9">
        <f>'PC 06'!G26</f>
        <v>0</v>
      </c>
    </row>
    <row r="21" spans="1:4" ht="12.75" customHeight="1">
      <c r="A21" s="7">
        <v>7</v>
      </c>
      <c r="B21" s="8" t="s">
        <v>7</v>
      </c>
      <c r="C21" s="8" t="s">
        <v>8</v>
      </c>
      <c r="D21" s="9">
        <f>'PC 07'!G35</f>
        <v>0</v>
      </c>
    </row>
    <row r="22" spans="1:8" ht="12.75" customHeight="1">
      <c r="A22" s="7">
        <v>8</v>
      </c>
      <c r="B22" s="8" t="s">
        <v>7</v>
      </c>
      <c r="C22" s="8" t="s">
        <v>9</v>
      </c>
      <c r="D22" s="9">
        <f>'PC 08'!G39</f>
        <v>0</v>
      </c>
      <c r="H22" s="10"/>
    </row>
    <row r="23" spans="1:8" ht="12.75" customHeight="1">
      <c r="A23" s="7">
        <v>9</v>
      </c>
      <c r="B23" s="8" t="s">
        <v>7</v>
      </c>
      <c r="C23" s="8" t="s">
        <v>10</v>
      </c>
      <c r="D23" s="9">
        <f>'PC 09'!G35</f>
        <v>0</v>
      </c>
      <c r="H23" s="10"/>
    </row>
    <row r="24" spans="1:8" ht="12.75" customHeight="1">
      <c r="A24" s="7">
        <v>10</v>
      </c>
      <c r="B24" s="8" t="s">
        <v>7</v>
      </c>
      <c r="C24" s="8" t="s">
        <v>11</v>
      </c>
      <c r="D24" s="9">
        <f>'PC 10'!G35</f>
        <v>0</v>
      </c>
      <c r="H24" s="10"/>
    </row>
    <row r="25" spans="1:8" ht="15">
      <c r="A25" s="119" t="s">
        <v>12</v>
      </c>
      <c r="B25" s="119"/>
      <c r="C25" s="119"/>
      <c r="D25" s="11">
        <f>+SUM(D15:D24)</f>
        <v>0</v>
      </c>
      <c r="E25" s="12"/>
      <c r="F25" s="12"/>
      <c r="H25" s="13"/>
    </row>
    <row r="26" spans="4:8" ht="12.75">
      <c r="D26" s="14"/>
      <c r="H26" s="10"/>
    </row>
    <row r="27" spans="4:8" ht="12.75">
      <c r="D27" s="14"/>
      <c r="H27" s="10"/>
    </row>
    <row r="28" spans="1:8" ht="12.75">
      <c r="A28" s="15"/>
      <c r="H28" s="10"/>
    </row>
    <row r="29" ht="12.75">
      <c r="H29" s="10"/>
    </row>
    <row r="30" ht="12.75">
      <c r="H30" s="10"/>
    </row>
    <row r="31" ht="12.75">
      <c r="H31" s="10"/>
    </row>
  </sheetData>
  <sheetProtection/>
  <mergeCells count="5">
    <mergeCell ref="A2:D2"/>
    <mergeCell ref="A3:D3"/>
    <mergeCell ref="B13:C13"/>
    <mergeCell ref="A14:D14"/>
    <mergeCell ref="A25:C25"/>
  </mergeCells>
  <printOptions horizontalCentered="1" verticalCentered="1"/>
  <pageMargins left="0.9055118110236221" right="0" top="0.6299212598425197" bottom="0.984251968503937" header="0" footer="0"/>
  <pageSetup horizontalDpi="600" verticalDpi="600" orientation="landscape" paperSize="9" scale="59" r:id="rId2"/>
  <colBreaks count="1" manualBreakCount="1">
    <brk id="4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view="pageBreakPreview" zoomScaleNormal="110" zoomScaleSheetLayoutView="100" zoomScalePageLayoutView="0" workbookViewId="0" topLeftCell="A1">
      <selection activeCell="E15" sqref="E15"/>
    </sheetView>
  </sheetViews>
  <sheetFormatPr defaultColWidth="8.8515625" defaultRowHeight="15"/>
  <cols>
    <col min="1" max="1" width="2.421875" style="78" customWidth="1"/>
    <col min="2" max="2" width="10.421875" style="78" customWidth="1"/>
    <col min="3" max="3" width="45.28125" style="78" customWidth="1"/>
    <col min="4" max="4" width="8.7109375" style="78" customWidth="1"/>
    <col min="5" max="16384" width="8.8515625" style="78" customWidth="1"/>
  </cols>
  <sheetData>
    <row r="1" spans="2:7" ht="11.25">
      <c r="B1" s="131" t="s">
        <v>0</v>
      </c>
      <c r="C1" s="131"/>
      <c r="D1" s="131"/>
      <c r="E1" s="131"/>
      <c r="F1" s="131"/>
      <c r="G1" s="131"/>
    </row>
    <row r="2" spans="2:7" ht="11.25">
      <c r="B2" s="132" t="str">
        <f>+'[1]16'!B2:G2</f>
        <v>SUBSECRETARÍA ZONAL DE NAPO Y SUCUMBÍOS</v>
      </c>
      <c r="C2" s="132"/>
      <c r="D2" s="132"/>
      <c r="E2" s="132"/>
      <c r="F2" s="132"/>
      <c r="G2" s="132"/>
    </row>
    <row r="3" spans="2:7" ht="11.25">
      <c r="B3" s="133" t="s">
        <v>142</v>
      </c>
      <c r="C3" s="133"/>
      <c r="D3" s="133"/>
      <c r="E3" s="133"/>
      <c r="F3" s="133"/>
      <c r="G3" s="133"/>
    </row>
    <row r="4" spans="2:7" ht="11.25">
      <c r="B4" s="79" t="s">
        <v>143</v>
      </c>
      <c r="C4" s="134" t="str">
        <f>+'[1]17'!C4:G4</f>
        <v>Carretera "Y" de Baeza-Reventador-Lumbaquí</v>
      </c>
      <c r="D4" s="134"/>
      <c r="E4" s="134"/>
      <c r="F4" s="134"/>
      <c r="G4" s="134"/>
    </row>
    <row r="5" spans="2:7" ht="11.25">
      <c r="B5" s="79" t="s">
        <v>144</v>
      </c>
      <c r="C5" s="80" t="str">
        <f>+C4</f>
        <v>Carretera "Y" de Baeza-Reventador-Lumbaquí</v>
      </c>
      <c r="D5" s="80"/>
      <c r="E5" s="80"/>
      <c r="F5" s="80"/>
      <c r="G5" s="80"/>
    </row>
    <row r="6" spans="2:7" ht="12.75" customHeight="1">
      <c r="B6" s="79" t="s">
        <v>145</v>
      </c>
      <c r="C6" s="135" t="s">
        <v>186</v>
      </c>
      <c r="D6" s="135"/>
      <c r="E6" s="135"/>
      <c r="F6" s="135"/>
      <c r="G6" s="135"/>
    </row>
    <row r="7" spans="2:7" ht="9" customHeight="1">
      <c r="B7" s="79" t="s">
        <v>147</v>
      </c>
      <c r="C7" s="81">
        <v>35</v>
      </c>
      <c r="D7" s="80" t="s">
        <v>148</v>
      </c>
      <c r="E7" s="82">
        <v>3</v>
      </c>
      <c r="F7" s="80"/>
      <c r="G7" s="83"/>
    </row>
    <row r="8" spans="2:7" ht="12" customHeight="1">
      <c r="B8" s="79"/>
      <c r="C8" s="80"/>
      <c r="D8" s="80" t="s">
        <v>149</v>
      </c>
      <c r="E8" s="80">
        <v>80</v>
      </c>
      <c r="F8" s="80"/>
      <c r="G8" s="83"/>
    </row>
    <row r="9" spans="2:7" ht="11.25">
      <c r="B9" s="79" t="s">
        <v>150</v>
      </c>
      <c r="C9" s="80" t="s">
        <v>151</v>
      </c>
      <c r="D9" s="80"/>
      <c r="E9" s="80"/>
      <c r="F9" s="80"/>
      <c r="G9" s="83"/>
    </row>
    <row r="10" spans="2:7" ht="11.25">
      <c r="B10" s="79" t="s">
        <v>152</v>
      </c>
      <c r="C10" s="84">
        <v>230133.7</v>
      </c>
      <c r="D10" s="80"/>
      <c r="E10" s="80"/>
      <c r="F10" s="80"/>
      <c r="G10" s="83"/>
    </row>
    <row r="11" spans="2:7" ht="11.25">
      <c r="B11" s="79"/>
      <c r="C11" s="84">
        <v>9998984.8</v>
      </c>
      <c r="D11" s="80"/>
      <c r="E11" s="80"/>
      <c r="F11" s="80"/>
      <c r="G11" s="83"/>
    </row>
    <row r="13" spans="2:4" ht="11.25">
      <c r="B13" s="131" t="s">
        <v>153</v>
      </c>
      <c r="C13" s="131"/>
      <c r="D13" s="131"/>
    </row>
    <row r="15" spans="1:7" ht="11.25">
      <c r="A15" s="85" t="s">
        <v>18</v>
      </c>
      <c r="B15" s="86" t="s">
        <v>154</v>
      </c>
      <c r="C15" s="87" t="s">
        <v>155</v>
      </c>
      <c r="D15" s="88" t="s">
        <v>21</v>
      </c>
      <c r="E15" s="88" t="s">
        <v>22</v>
      </c>
      <c r="F15" s="88" t="s">
        <v>156</v>
      </c>
      <c r="G15" s="88" t="s">
        <v>157</v>
      </c>
    </row>
    <row r="16" spans="1:7" ht="11.25">
      <c r="A16" s="89"/>
      <c r="B16" s="90"/>
      <c r="C16" s="91" t="str">
        <f>+C4</f>
        <v>Carretera "Y" de Baeza-Reventador-Lumbaquí</v>
      </c>
      <c r="D16" s="92"/>
      <c r="E16" s="93"/>
      <c r="F16" s="93"/>
      <c r="G16" s="93"/>
    </row>
    <row r="17" spans="1:7" ht="11.25">
      <c r="A17" s="89"/>
      <c r="B17" s="94"/>
      <c r="C17" s="91" t="str">
        <f>+C6</f>
        <v>Abscisa 99+900 - 99+940</v>
      </c>
      <c r="D17" s="92"/>
      <c r="E17" s="93"/>
      <c r="F17" s="93"/>
      <c r="G17" s="93"/>
    </row>
    <row r="18" spans="1:7" ht="11.25">
      <c r="A18" s="89"/>
      <c r="B18" s="94"/>
      <c r="C18" s="91" t="s">
        <v>26</v>
      </c>
      <c r="D18" s="88"/>
      <c r="E18" s="93"/>
      <c r="F18" s="93"/>
      <c r="G18" s="93"/>
    </row>
    <row r="19" spans="1:7" ht="11.25">
      <c r="A19" s="98">
        <v>1</v>
      </c>
      <c r="B19" s="99" t="s">
        <v>159</v>
      </c>
      <c r="C19" s="100" t="s">
        <v>31</v>
      </c>
      <c r="D19" s="101" t="s">
        <v>32</v>
      </c>
      <c r="E19" s="102">
        <f>+('[1]DATOS'!F7*E7*C7)+(E7*E7*0.5*C7)</f>
        <v>472.5</v>
      </c>
      <c r="F19" s="102"/>
      <c r="G19" s="102">
        <f>+E19*F19</f>
        <v>0</v>
      </c>
    </row>
    <row r="20" spans="1:7" ht="11.25">
      <c r="A20" s="98">
        <v>2</v>
      </c>
      <c r="B20" s="99" t="s">
        <v>33</v>
      </c>
      <c r="C20" s="100" t="s">
        <v>34</v>
      </c>
      <c r="D20" s="101" t="s">
        <v>35</v>
      </c>
      <c r="E20" s="102">
        <f>+E19*E8</f>
        <v>37800</v>
      </c>
      <c r="F20" s="102"/>
      <c r="G20" s="102">
        <f>+E20*F20</f>
        <v>0</v>
      </c>
    </row>
    <row r="21" spans="1:7" ht="11.25">
      <c r="A21" s="103"/>
      <c r="B21" s="99"/>
      <c r="C21" s="95" t="s">
        <v>183</v>
      </c>
      <c r="D21" s="96"/>
      <c r="E21" s="97"/>
      <c r="F21" s="97"/>
      <c r="G21" s="97"/>
    </row>
    <row r="22" spans="1:7" ht="11.25">
      <c r="A22" s="103">
        <v>3</v>
      </c>
      <c r="B22" s="99" t="s">
        <v>73</v>
      </c>
      <c r="C22" s="100" t="s">
        <v>74</v>
      </c>
      <c r="D22" s="101" t="s">
        <v>32</v>
      </c>
      <c r="E22" s="102">
        <v>35</v>
      </c>
      <c r="F22" s="102"/>
      <c r="G22" s="102">
        <f>+E22*F22</f>
        <v>0</v>
      </c>
    </row>
    <row r="23" spans="1:7" ht="11.25">
      <c r="A23" s="98">
        <v>4</v>
      </c>
      <c r="B23" s="99" t="s">
        <v>75</v>
      </c>
      <c r="C23" s="100" t="s">
        <v>76</v>
      </c>
      <c r="D23" s="101" t="s">
        <v>50</v>
      </c>
      <c r="E23" s="102">
        <f>8*C7</f>
        <v>280</v>
      </c>
      <c r="F23" s="102"/>
      <c r="G23" s="102">
        <f>+E23*F23</f>
        <v>0</v>
      </c>
    </row>
    <row r="24" spans="1:7" ht="11.25">
      <c r="A24" s="98">
        <v>5</v>
      </c>
      <c r="B24" s="99" t="s">
        <v>164</v>
      </c>
      <c r="C24" s="100" t="s">
        <v>78</v>
      </c>
      <c r="D24" s="101" t="s">
        <v>50</v>
      </c>
      <c r="E24" s="102">
        <f>C7*11</f>
        <v>385</v>
      </c>
      <c r="F24" s="102"/>
      <c r="G24" s="102">
        <f aca="true" t="shared" si="0" ref="G24:G34">+E24*F24</f>
        <v>0</v>
      </c>
    </row>
    <row r="25" spans="1:7" ht="11.25">
      <c r="A25" s="98">
        <v>6</v>
      </c>
      <c r="B25" s="99" t="s">
        <v>175</v>
      </c>
      <c r="C25" s="100" t="s">
        <v>176</v>
      </c>
      <c r="D25" s="101" t="s">
        <v>32</v>
      </c>
      <c r="E25" s="102">
        <f>0.3*C7</f>
        <v>10.5</v>
      </c>
      <c r="F25" s="102"/>
      <c r="G25" s="102">
        <f t="shared" si="0"/>
        <v>0</v>
      </c>
    </row>
    <row r="26" spans="1:7" ht="22.5">
      <c r="A26" s="98">
        <f>1+A25</f>
        <v>7</v>
      </c>
      <c r="B26" s="99" t="s">
        <v>177</v>
      </c>
      <c r="C26" s="100" t="s">
        <v>178</v>
      </c>
      <c r="D26" s="101" t="s">
        <v>107</v>
      </c>
      <c r="E26" s="102">
        <f>+E25*E8</f>
        <v>840</v>
      </c>
      <c r="F26" s="102"/>
      <c r="G26" s="102">
        <f t="shared" si="0"/>
        <v>0</v>
      </c>
    </row>
    <row r="27" spans="1:7" ht="11.25">
      <c r="A27" s="98">
        <f>1+A26</f>
        <v>8</v>
      </c>
      <c r="B27" s="99" t="s">
        <v>83</v>
      </c>
      <c r="C27" s="100" t="s">
        <v>179</v>
      </c>
      <c r="D27" s="101" t="s">
        <v>32</v>
      </c>
      <c r="E27" s="102">
        <f>+C7*0.2</f>
        <v>7</v>
      </c>
      <c r="F27" s="102"/>
      <c r="G27" s="102">
        <f t="shared" si="0"/>
        <v>0</v>
      </c>
    </row>
    <row r="28" spans="1:7" ht="22.5">
      <c r="A28" s="98">
        <f>1+A27</f>
        <v>9</v>
      </c>
      <c r="B28" s="99" t="s">
        <v>177</v>
      </c>
      <c r="C28" s="100" t="s">
        <v>180</v>
      </c>
      <c r="D28" s="101" t="s">
        <v>107</v>
      </c>
      <c r="E28" s="102">
        <f>+E27*E8</f>
        <v>560</v>
      </c>
      <c r="F28" s="102"/>
      <c r="G28" s="102">
        <f t="shared" si="0"/>
        <v>0</v>
      </c>
    </row>
    <row r="29" spans="1:7" ht="11.25">
      <c r="A29" s="98"/>
      <c r="B29" s="99"/>
      <c r="C29" s="95" t="s">
        <v>127</v>
      </c>
      <c r="D29" s="101"/>
      <c r="E29" s="102"/>
      <c r="F29" s="102"/>
      <c r="G29" s="102"/>
    </row>
    <row r="30" spans="1:7" ht="11.25">
      <c r="A30" s="98">
        <v>13</v>
      </c>
      <c r="B30" s="99" t="s">
        <v>128</v>
      </c>
      <c r="C30" s="100" t="s">
        <v>129</v>
      </c>
      <c r="D30" s="111" t="s">
        <v>32</v>
      </c>
      <c r="E30" s="102">
        <v>400</v>
      </c>
      <c r="F30" s="102"/>
      <c r="G30" s="102">
        <f t="shared" si="0"/>
        <v>0</v>
      </c>
    </row>
    <row r="31" spans="1:7" ht="22.5">
      <c r="A31" s="98">
        <v>14</v>
      </c>
      <c r="B31" s="99" t="s">
        <v>177</v>
      </c>
      <c r="C31" s="100" t="s">
        <v>187</v>
      </c>
      <c r="D31" s="111" t="s">
        <v>107</v>
      </c>
      <c r="E31" s="102">
        <f>E30*E8</f>
        <v>32000</v>
      </c>
      <c r="F31" s="102"/>
      <c r="G31" s="102">
        <f t="shared" si="0"/>
        <v>0</v>
      </c>
    </row>
    <row r="32" spans="1:7" ht="11.25">
      <c r="A32" s="98">
        <v>15</v>
      </c>
      <c r="B32" s="99" t="s">
        <v>130</v>
      </c>
      <c r="C32" s="100" t="s">
        <v>131</v>
      </c>
      <c r="D32" s="111" t="s">
        <v>32</v>
      </c>
      <c r="E32" s="102">
        <f>C7</f>
        <v>35</v>
      </c>
      <c r="F32" s="102"/>
      <c r="G32" s="102">
        <f t="shared" si="0"/>
        <v>0</v>
      </c>
    </row>
    <row r="33" spans="1:7" ht="22.5">
      <c r="A33" s="98">
        <v>16</v>
      </c>
      <c r="B33" s="99" t="s">
        <v>177</v>
      </c>
      <c r="C33" s="100" t="s">
        <v>188</v>
      </c>
      <c r="D33" s="111" t="s">
        <v>107</v>
      </c>
      <c r="E33" s="102">
        <f>E32*E8</f>
        <v>2800</v>
      </c>
      <c r="F33" s="102"/>
      <c r="G33" s="102">
        <f t="shared" si="0"/>
        <v>0</v>
      </c>
    </row>
    <row r="34" spans="1:7" ht="11.25">
      <c r="A34" s="98">
        <v>17</v>
      </c>
      <c r="B34" s="99" t="s">
        <v>133</v>
      </c>
      <c r="C34" s="112" t="s">
        <v>137</v>
      </c>
      <c r="D34" s="111" t="s">
        <v>50</v>
      </c>
      <c r="E34" s="102">
        <f>4*2*C7</f>
        <v>280</v>
      </c>
      <c r="F34" s="102"/>
      <c r="G34" s="102">
        <f t="shared" si="0"/>
        <v>0</v>
      </c>
    </row>
    <row r="35" spans="1:7" ht="11.25">
      <c r="A35" s="98"/>
      <c r="B35" s="90"/>
      <c r="C35" s="106"/>
      <c r="D35" s="107" t="s">
        <v>181</v>
      </c>
      <c r="E35" s="107"/>
      <c r="F35" s="107"/>
      <c r="G35" s="97">
        <f>+SUM(G16:G34)</f>
        <v>0</v>
      </c>
    </row>
    <row r="36" ht="11.25">
      <c r="A36" s="98"/>
    </row>
    <row r="37" spans="1:3" ht="11.25">
      <c r="A37" s="98"/>
      <c r="B37" s="109"/>
      <c r="C37" s="110"/>
    </row>
    <row r="38" ht="11.25">
      <c r="B38" s="110"/>
    </row>
  </sheetData>
  <sheetProtection/>
  <mergeCells count="6">
    <mergeCell ref="B1:G1"/>
    <mergeCell ref="B2:G2"/>
    <mergeCell ref="B3:G3"/>
    <mergeCell ref="C4:G4"/>
    <mergeCell ref="C6:G6"/>
    <mergeCell ref="B13:D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view="pageBreakPreview" zoomScaleNormal="95" zoomScaleSheetLayoutView="100" zoomScalePageLayoutView="0" workbookViewId="0" topLeftCell="A1">
      <selection activeCell="E15" sqref="E15"/>
    </sheetView>
  </sheetViews>
  <sheetFormatPr defaultColWidth="8.8515625" defaultRowHeight="15"/>
  <cols>
    <col min="1" max="1" width="2.421875" style="78" customWidth="1"/>
    <col min="2" max="2" width="10.421875" style="78" customWidth="1"/>
    <col min="3" max="3" width="45.28125" style="78" customWidth="1"/>
    <col min="4" max="4" width="8.7109375" style="78" customWidth="1"/>
    <col min="5" max="6" width="8.8515625" style="78" customWidth="1"/>
    <col min="7" max="7" width="15.140625" style="78" customWidth="1"/>
    <col min="8" max="16384" width="8.8515625" style="78" customWidth="1"/>
  </cols>
  <sheetData>
    <row r="1" spans="2:7" ht="11.25">
      <c r="B1" s="131" t="s">
        <v>0</v>
      </c>
      <c r="C1" s="131"/>
      <c r="D1" s="131"/>
      <c r="E1" s="131"/>
      <c r="F1" s="131"/>
      <c r="G1" s="131"/>
    </row>
    <row r="2" spans="2:7" ht="11.25">
      <c r="B2" s="132" t="str">
        <f>+'[1]16'!B2:G2</f>
        <v>SUBSECRETARÍA ZONAL DE NAPO Y SUCUMBÍOS</v>
      </c>
      <c r="C2" s="132"/>
      <c r="D2" s="132"/>
      <c r="E2" s="132"/>
      <c r="F2" s="132"/>
      <c r="G2" s="132"/>
    </row>
    <row r="3" spans="2:7" ht="11.25">
      <c r="B3" s="133" t="s">
        <v>142</v>
      </c>
      <c r="C3" s="133"/>
      <c r="D3" s="133"/>
      <c r="E3" s="133"/>
      <c r="F3" s="133"/>
      <c r="G3" s="133"/>
    </row>
    <row r="4" spans="2:7" ht="11.25">
      <c r="B4" s="79" t="s">
        <v>143</v>
      </c>
      <c r="C4" s="134" t="str">
        <f>+'[1]17'!C4:G4</f>
        <v>Carretera "Y" de Baeza-Reventador-Lumbaquí</v>
      </c>
      <c r="D4" s="134"/>
      <c r="E4" s="134"/>
      <c r="F4" s="134"/>
      <c r="G4" s="134"/>
    </row>
    <row r="5" spans="2:7" ht="11.25">
      <c r="B5" s="79" t="s">
        <v>144</v>
      </c>
      <c r="C5" s="80" t="str">
        <f>+C4</f>
        <v>Carretera "Y" de Baeza-Reventador-Lumbaquí</v>
      </c>
      <c r="D5" s="80"/>
      <c r="E5" s="80"/>
      <c r="F5" s="80"/>
      <c r="G5" s="80"/>
    </row>
    <row r="6" spans="2:7" ht="12.75" customHeight="1">
      <c r="B6" s="79" t="s">
        <v>145</v>
      </c>
      <c r="C6" s="135" t="s">
        <v>189</v>
      </c>
      <c r="D6" s="135"/>
      <c r="E6" s="135"/>
      <c r="F6" s="135"/>
      <c r="G6" s="135"/>
    </row>
    <row r="7" spans="2:7" ht="9" customHeight="1">
      <c r="B7" s="79" t="s">
        <v>147</v>
      </c>
      <c r="C7" s="81">
        <v>40</v>
      </c>
      <c r="D7" s="80" t="s">
        <v>148</v>
      </c>
      <c r="E7" s="82">
        <v>3</v>
      </c>
      <c r="F7" s="80"/>
      <c r="G7" s="83"/>
    </row>
    <row r="8" spans="2:7" ht="12" customHeight="1">
      <c r="B8" s="79"/>
      <c r="C8" s="80"/>
      <c r="D8" s="80" t="s">
        <v>149</v>
      </c>
      <c r="E8" s="80">
        <v>80</v>
      </c>
      <c r="F8" s="80"/>
      <c r="G8" s="83"/>
    </row>
    <row r="9" spans="2:7" ht="11.25">
      <c r="B9" s="79" t="s">
        <v>150</v>
      </c>
      <c r="C9" s="80" t="s">
        <v>151</v>
      </c>
      <c r="D9" s="80"/>
      <c r="E9" s="80"/>
      <c r="F9" s="80"/>
      <c r="G9" s="83"/>
    </row>
    <row r="10" spans="2:7" ht="11.25">
      <c r="B10" s="79" t="s">
        <v>152</v>
      </c>
      <c r="C10" s="84">
        <v>232710.4</v>
      </c>
      <c r="D10" s="80"/>
      <c r="E10" s="80"/>
      <c r="F10" s="80"/>
      <c r="G10" s="83"/>
    </row>
    <row r="11" spans="2:7" ht="11.25">
      <c r="B11" s="79"/>
      <c r="C11" s="84">
        <v>9999879.6</v>
      </c>
      <c r="D11" s="80"/>
      <c r="E11" s="80"/>
      <c r="F11" s="80"/>
      <c r="G11" s="83"/>
    </row>
    <row r="13" spans="2:4" ht="11.25">
      <c r="B13" s="131" t="s">
        <v>153</v>
      </c>
      <c r="C13" s="131"/>
      <c r="D13" s="131"/>
    </row>
    <row r="15" spans="1:7" ht="11.25">
      <c r="A15" s="85" t="s">
        <v>18</v>
      </c>
      <c r="B15" s="86" t="s">
        <v>154</v>
      </c>
      <c r="C15" s="87" t="s">
        <v>155</v>
      </c>
      <c r="D15" s="88" t="s">
        <v>21</v>
      </c>
      <c r="E15" s="88" t="s">
        <v>22</v>
      </c>
      <c r="F15" s="88" t="s">
        <v>156</v>
      </c>
      <c r="G15" s="88" t="s">
        <v>157</v>
      </c>
    </row>
    <row r="16" spans="1:7" ht="11.25">
      <c r="A16" s="89"/>
      <c r="B16" s="90"/>
      <c r="C16" s="91" t="str">
        <f>+C4</f>
        <v>Carretera "Y" de Baeza-Reventador-Lumbaquí</v>
      </c>
      <c r="D16" s="92"/>
      <c r="E16" s="93"/>
      <c r="F16" s="93"/>
      <c r="G16" s="93"/>
    </row>
    <row r="17" spans="1:7" ht="11.25">
      <c r="A17" s="89"/>
      <c r="B17" s="94"/>
      <c r="C17" s="91" t="str">
        <f>+C6</f>
        <v>Abscisa 100+350 - 100+390</v>
      </c>
      <c r="D17" s="92"/>
      <c r="E17" s="93"/>
      <c r="F17" s="93"/>
      <c r="G17" s="93"/>
    </row>
    <row r="18" spans="1:7" ht="11.25">
      <c r="A18" s="89"/>
      <c r="B18" s="94"/>
      <c r="C18" s="91" t="s">
        <v>26</v>
      </c>
      <c r="D18" s="88"/>
      <c r="E18" s="93"/>
      <c r="F18" s="93"/>
      <c r="G18" s="93"/>
    </row>
    <row r="19" spans="1:7" ht="11.25">
      <c r="A19" s="98">
        <v>1</v>
      </c>
      <c r="B19" s="99" t="s">
        <v>159</v>
      </c>
      <c r="C19" s="100" t="s">
        <v>31</v>
      </c>
      <c r="D19" s="101" t="s">
        <v>32</v>
      </c>
      <c r="E19" s="102">
        <f>+('[1]DATOS'!F7*E7*C7)+(E7*E7*0.5*C7)</f>
        <v>540</v>
      </c>
      <c r="F19" s="102"/>
      <c r="G19" s="113">
        <f>+E19*F19</f>
        <v>0</v>
      </c>
    </row>
    <row r="20" spans="1:7" ht="11.25">
      <c r="A20" s="98">
        <v>2</v>
      </c>
      <c r="B20" s="99" t="s">
        <v>33</v>
      </c>
      <c r="C20" s="100" t="s">
        <v>34</v>
      </c>
      <c r="D20" s="101" t="s">
        <v>35</v>
      </c>
      <c r="E20" s="102">
        <f>+E19*E8</f>
        <v>43200</v>
      </c>
      <c r="F20" s="102"/>
      <c r="G20" s="113">
        <f>+E20*F20</f>
        <v>0</v>
      </c>
    </row>
    <row r="21" spans="1:7" ht="11.25">
      <c r="A21" s="103"/>
      <c r="B21" s="99"/>
      <c r="C21" s="95" t="s">
        <v>183</v>
      </c>
      <c r="D21" s="96"/>
      <c r="E21" s="97"/>
      <c r="F21" s="97"/>
      <c r="G21" s="93"/>
    </row>
    <row r="22" spans="1:7" ht="11.25">
      <c r="A22" s="103">
        <v>3</v>
      </c>
      <c r="B22" s="99" t="s">
        <v>73</v>
      </c>
      <c r="C22" s="100" t="s">
        <v>74</v>
      </c>
      <c r="D22" s="101" t="s">
        <v>32</v>
      </c>
      <c r="E22" s="102">
        <v>40</v>
      </c>
      <c r="F22" s="102"/>
      <c r="G22" s="113">
        <f>+E22*F22</f>
        <v>0</v>
      </c>
    </row>
    <row r="23" spans="1:7" ht="11.25">
      <c r="A23" s="98">
        <v>4</v>
      </c>
      <c r="B23" s="99" t="s">
        <v>75</v>
      </c>
      <c r="C23" s="100" t="s">
        <v>76</v>
      </c>
      <c r="D23" s="101" t="s">
        <v>50</v>
      </c>
      <c r="E23" s="102">
        <f>8*C7</f>
        <v>320</v>
      </c>
      <c r="F23" s="102"/>
      <c r="G23" s="113">
        <f>+E23*F23</f>
        <v>0</v>
      </c>
    </row>
    <row r="24" spans="1:7" ht="11.25">
      <c r="A24" s="98">
        <v>5</v>
      </c>
      <c r="B24" s="99" t="s">
        <v>164</v>
      </c>
      <c r="C24" s="100" t="s">
        <v>78</v>
      </c>
      <c r="D24" s="101" t="s">
        <v>50</v>
      </c>
      <c r="E24" s="102">
        <f>C7*11</f>
        <v>440</v>
      </c>
      <c r="F24" s="102"/>
      <c r="G24" s="113">
        <f aca="true" t="shared" si="0" ref="G24:G34">+E24*F24</f>
        <v>0</v>
      </c>
    </row>
    <row r="25" spans="1:7" ht="11.25">
      <c r="A25" s="98">
        <v>6</v>
      </c>
      <c r="B25" s="99" t="s">
        <v>175</v>
      </c>
      <c r="C25" s="100" t="s">
        <v>176</v>
      </c>
      <c r="D25" s="101" t="s">
        <v>32</v>
      </c>
      <c r="E25" s="102">
        <f>0.3*C7</f>
        <v>12</v>
      </c>
      <c r="F25" s="102"/>
      <c r="G25" s="113">
        <f t="shared" si="0"/>
        <v>0</v>
      </c>
    </row>
    <row r="26" spans="1:7" ht="22.5">
      <c r="A26" s="98">
        <f>1+A25</f>
        <v>7</v>
      </c>
      <c r="B26" s="99" t="s">
        <v>177</v>
      </c>
      <c r="C26" s="100" t="s">
        <v>178</v>
      </c>
      <c r="D26" s="101" t="s">
        <v>107</v>
      </c>
      <c r="E26" s="102">
        <f>+E25*E8</f>
        <v>960</v>
      </c>
      <c r="F26" s="102"/>
      <c r="G26" s="113">
        <f t="shared" si="0"/>
        <v>0</v>
      </c>
    </row>
    <row r="27" spans="1:7" ht="11.25">
      <c r="A27" s="98">
        <f>1+A26</f>
        <v>8</v>
      </c>
      <c r="B27" s="99" t="s">
        <v>83</v>
      </c>
      <c r="C27" s="100" t="s">
        <v>179</v>
      </c>
      <c r="D27" s="101" t="s">
        <v>32</v>
      </c>
      <c r="E27" s="102">
        <f>+C7*0.2</f>
        <v>8</v>
      </c>
      <c r="F27" s="102"/>
      <c r="G27" s="113">
        <f t="shared" si="0"/>
        <v>0</v>
      </c>
    </row>
    <row r="28" spans="1:7" ht="22.5">
      <c r="A28" s="98">
        <f>1+A27</f>
        <v>9</v>
      </c>
      <c r="B28" s="99" t="s">
        <v>177</v>
      </c>
      <c r="C28" s="104" t="s">
        <v>180</v>
      </c>
      <c r="D28" s="101" t="s">
        <v>107</v>
      </c>
      <c r="E28" s="102">
        <f>+E27*E8</f>
        <v>640</v>
      </c>
      <c r="F28" s="102"/>
      <c r="G28" s="113">
        <f t="shared" si="0"/>
        <v>0</v>
      </c>
    </row>
    <row r="29" spans="1:7" ht="11.25">
      <c r="A29" s="98"/>
      <c r="B29" s="99"/>
      <c r="C29" s="95" t="s">
        <v>127</v>
      </c>
      <c r="D29" s="101"/>
      <c r="E29" s="102"/>
      <c r="F29" s="102"/>
      <c r="G29" s="113"/>
    </row>
    <row r="30" spans="1:7" ht="11.25">
      <c r="A30" s="98">
        <v>13</v>
      </c>
      <c r="B30" s="99" t="s">
        <v>128</v>
      </c>
      <c r="C30" s="100" t="s">
        <v>129</v>
      </c>
      <c r="D30" s="111" t="s">
        <v>32</v>
      </c>
      <c r="E30" s="102">
        <v>400</v>
      </c>
      <c r="F30" s="102"/>
      <c r="G30" s="113">
        <f t="shared" si="0"/>
        <v>0</v>
      </c>
    </row>
    <row r="31" spans="1:7" ht="22.5">
      <c r="A31" s="98">
        <v>14</v>
      </c>
      <c r="B31" s="99" t="s">
        <v>177</v>
      </c>
      <c r="C31" s="100" t="s">
        <v>187</v>
      </c>
      <c r="D31" s="111" t="s">
        <v>107</v>
      </c>
      <c r="E31" s="102">
        <f>E30*E8</f>
        <v>32000</v>
      </c>
      <c r="F31" s="102"/>
      <c r="G31" s="113">
        <f t="shared" si="0"/>
        <v>0</v>
      </c>
    </row>
    <row r="32" spans="1:7" ht="11.25">
      <c r="A32" s="98">
        <v>15</v>
      </c>
      <c r="B32" s="99" t="s">
        <v>130</v>
      </c>
      <c r="C32" s="100" t="s">
        <v>131</v>
      </c>
      <c r="D32" s="111" t="s">
        <v>32</v>
      </c>
      <c r="E32" s="102">
        <f>C7</f>
        <v>40</v>
      </c>
      <c r="F32" s="102"/>
      <c r="G32" s="113">
        <f t="shared" si="0"/>
        <v>0</v>
      </c>
    </row>
    <row r="33" spans="1:7" ht="22.5">
      <c r="A33" s="98">
        <v>16</v>
      </c>
      <c r="B33" s="99" t="s">
        <v>177</v>
      </c>
      <c r="C33" s="100" t="s">
        <v>188</v>
      </c>
      <c r="D33" s="111" t="s">
        <v>107</v>
      </c>
      <c r="E33" s="102">
        <f>E32*E8</f>
        <v>3200</v>
      </c>
      <c r="F33" s="102"/>
      <c r="G33" s="113">
        <f t="shared" si="0"/>
        <v>0</v>
      </c>
    </row>
    <row r="34" spans="1:7" ht="11.25">
      <c r="A34" s="98">
        <v>17</v>
      </c>
      <c r="B34" s="99" t="s">
        <v>133</v>
      </c>
      <c r="C34" s="112" t="s">
        <v>137</v>
      </c>
      <c r="D34" s="111" t="s">
        <v>50</v>
      </c>
      <c r="E34" s="102">
        <f>4*2*C7</f>
        <v>320</v>
      </c>
      <c r="F34" s="102"/>
      <c r="G34" s="113">
        <f t="shared" si="0"/>
        <v>0</v>
      </c>
    </row>
    <row r="35" spans="1:7" ht="11.25">
      <c r="A35" s="98"/>
      <c r="B35" s="90"/>
      <c r="C35" s="114"/>
      <c r="D35" s="92" t="s">
        <v>181</v>
      </c>
      <c r="E35" s="92"/>
      <c r="F35" s="92"/>
      <c r="G35" s="93">
        <f>+SUM(G16:G34)</f>
        <v>0</v>
      </c>
    </row>
    <row r="36" ht="11.25">
      <c r="A36" s="98"/>
    </row>
    <row r="37" spans="1:3" ht="11.25">
      <c r="A37" s="98"/>
      <c r="B37" s="109"/>
      <c r="C37" s="110"/>
    </row>
    <row r="38" ht="11.25">
      <c r="B38" s="110"/>
    </row>
  </sheetData>
  <sheetProtection/>
  <mergeCells count="6">
    <mergeCell ref="B1:G1"/>
    <mergeCell ref="B2:G2"/>
    <mergeCell ref="B3:G3"/>
    <mergeCell ref="C4:G4"/>
    <mergeCell ref="C6:G6"/>
    <mergeCell ref="B13:D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30"/>
  <sheetViews>
    <sheetView view="pageBreakPreview" zoomScale="60" zoomScaleNormal="80" zoomScalePageLayoutView="0" workbookViewId="0" topLeftCell="B1">
      <selection activeCell="E15" sqref="E15"/>
    </sheetView>
  </sheetViews>
  <sheetFormatPr defaultColWidth="11.421875" defaultRowHeight="15"/>
  <cols>
    <col min="1" max="1" width="10.28125" style="0" customWidth="1"/>
    <col min="2" max="2" width="14.421875" style="0" bestFit="1" customWidth="1"/>
    <col min="3" max="3" width="80.7109375" style="0" customWidth="1"/>
    <col min="4" max="4" width="13.57421875" style="0" customWidth="1"/>
    <col min="5" max="5" width="16.140625" style="0" customWidth="1"/>
    <col min="6" max="6" width="17.28125" style="0" customWidth="1"/>
    <col min="7" max="7" width="22.140625" style="0" customWidth="1"/>
    <col min="14" max="14" width="15.00390625" style="0" bestFit="1" customWidth="1"/>
  </cols>
  <sheetData>
    <row r="2" ht="15.75" thickBot="1"/>
    <row r="3" spans="1:7" ht="16.5" thickBot="1">
      <c r="A3" s="120" t="s">
        <v>13</v>
      </c>
      <c r="B3" s="121"/>
      <c r="C3" s="121"/>
      <c r="D3" s="121"/>
      <c r="E3" s="121"/>
      <c r="F3" s="121"/>
      <c r="G3" s="122"/>
    </row>
    <row r="4" spans="1:7" ht="16.5" thickBot="1">
      <c r="A4" s="123" t="s">
        <v>14</v>
      </c>
      <c r="B4" s="124"/>
      <c r="C4" s="124"/>
      <c r="D4" s="124"/>
      <c r="E4" s="124"/>
      <c r="F4" s="124"/>
      <c r="G4" s="125"/>
    </row>
    <row r="5" spans="1:7" ht="17.25" thickBot="1">
      <c r="A5" s="16" t="s">
        <v>15</v>
      </c>
      <c r="B5" s="17" t="s">
        <v>16</v>
      </c>
      <c r="C5" s="18"/>
      <c r="D5" s="18"/>
      <c r="E5" s="18"/>
      <c r="F5" s="18"/>
      <c r="G5" s="19"/>
    </row>
    <row r="6" spans="1:7" ht="19.5" thickBot="1">
      <c r="A6" s="126" t="s">
        <v>17</v>
      </c>
      <c r="B6" s="127"/>
      <c r="C6" s="127"/>
      <c r="D6" s="127"/>
      <c r="E6" s="127"/>
      <c r="F6" s="127"/>
      <c r="G6" s="128"/>
    </row>
    <row r="7" spans="1:7" ht="31.5">
      <c r="A7" s="20" t="s">
        <v>18</v>
      </c>
      <c r="B7" s="21" t="s">
        <v>19</v>
      </c>
      <c r="C7" s="21" t="s">
        <v>20</v>
      </c>
      <c r="D7" s="21" t="s">
        <v>21</v>
      </c>
      <c r="E7" s="21" t="s">
        <v>22</v>
      </c>
      <c r="F7" s="22" t="s">
        <v>23</v>
      </c>
      <c r="G7" s="23" t="s">
        <v>24</v>
      </c>
    </row>
    <row r="8" spans="1:7" ht="15.75">
      <c r="A8" s="24" t="s">
        <v>25</v>
      </c>
      <c r="B8" s="25"/>
      <c r="C8" s="25" t="s">
        <v>26</v>
      </c>
      <c r="D8" s="25"/>
      <c r="E8" s="25"/>
      <c r="F8" s="26"/>
      <c r="G8" s="27">
        <f>+SUM(G10:G12)</f>
        <v>0</v>
      </c>
    </row>
    <row r="9" spans="1:7" ht="15">
      <c r="A9" s="28"/>
      <c r="B9" s="29"/>
      <c r="C9" s="30"/>
      <c r="D9" s="29"/>
      <c r="E9" s="29"/>
      <c r="F9" s="31"/>
      <c r="G9" s="32"/>
    </row>
    <row r="10" spans="1:7" ht="15">
      <c r="A10" s="33"/>
      <c r="B10" s="34" t="s">
        <v>27</v>
      </c>
      <c r="C10" s="35" t="s">
        <v>28</v>
      </c>
      <c r="D10" s="36" t="s">
        <v>29</v>
      </c>
      <c r="E10" s="37">
        <v>0.02</v>
      </c>
      <c r="F10" s="38"/>
      <c r="G10" s="32">
        <f>ROUND(E10*F10,2)</f>
        <v>0</v>
      </c>
    </row>
    <row r="11" spans="1:7" ht="15">
      <c r="A11" s="28"/>
      <c r="B11" s="29" t="s">
        <v>30</v>
      </c>
      <c r="C11" s="39" t="s">
        <v>31</v>
      </c>
      <c r="D11" s="40" t="s">
        <v>32</v>
      </c>
      <c r="E11" s="40">
        <v>100</v>
      </c>
      <c r="F11" s="38"/>
      <c r="G11" s="32">
        <f>ROUND(E11*F11,2)</f>
        <v>0</v>
      </c>
    </row>
    <row r="12" spans="1:7" ht="15.75">
      <c r="A12" s="41"/>
      <c r="B12" s="42" t="s">
        <v>33</v>
      </c>
      <c r="C12" s="39" t="s">
        <v>34</v>
      </c>
      <c r="D12" s="42" t="s">
        <v>35</v>
      </c>
      <c r="E12" s="42">
        <v>100</v>
      </c>
      <c r="F12" s="38"/>
      <c r="G12" s="32">
        <f>ROUND(E12*F12,2)</f>
        <v>0</v>
      </c>
    </row>
    <row r="13" spans="1:7" ht="15.75">
      <c r="A13" s="41"/>
      <c r="B13" s="42"/>
      <c r="C13" s="43"/>
      <c r="D13" s="44"/>
      <c r="E13" s="44"/>
      <c r="F13" s="31"/>
      <c r="G13" s="32"/>
    </row>
    <row r="14" spans="1:7" ht="15.75">
      <c r="A14" s="25" t="s">
        <v>36</v>
      </c>
      <c r="B14" s="25"/>
      <c r="C14" s="25" t="s">
        <v>37</v>
      </c>
      <c r="D14" s="25"/>
      <c r="E14" s="25"/>
      <c r="F14" s="25"/>
      <c r="G14" s="25">
        <f>+SUM(G15:G17)</f>
        <v>0</v>
      </c>
    </row>
    <row r="15" spans="1:7" ht="15">
      <c r="A15" s="28"/>
      <c r="B15" s="45" t="s">
        <v>38</v>
      </c>
      <c r="C15" s="46" t="s">
        <v>39</v>
      </c>
      <c r="D15" s="47" t="s">
        <v>32</v>
      </c>
      <c r="E15" s="47">
        <f>100*1*10</f>
        <v>1000</v>
      </c>
      <c r="F15" s="38"/>
      <c r="G15" s="32">
        <f>ROUND(E15*F15,2)</f>
        <v>0</v>
      </c>
    </row>
    <row r="16" spans="1:7" ht="15">
      <c r="A16" s="28"/>
      <c r="B16" s="29" t="s">
        <v>40</v>
      </c>
      <c r="C16" s="39" t="s">
        <v>41</v>
      </c>
      <c r="D16" s="40" t="s">
        <v>32</v>
      </c>
      <c r="E16" s="40">
        <v>315</v>
      </c>
      <c r="F16" s="48"/>
      <c r="G16" s="32">
        <f>ROUND(E16*F16,2)</f>
        <v>0</v>
      </c>
    </row>
    <row r="17" spans="1:7" ht="15">
      <c r="A17" s="28"/>
      <c r="B17" s="29" t="s">
        <v>42</v>
      </c>
      <c r="C17" s="39" t="s">
        <v>43</v>
      </c>
      <c r="D17" s="40" t="s">
        <v>35</v>
      </c>
      <c r="E17" s="40">
        <v>1000</v>
      </c>
      <c r="F17" s="48"/>
      <c r="G17" s="32">
        <f>ROUND(E17*F17,2)</f>
        <v>0</v>
      </c>
    </row>
    <row r="18" spans="1:7" ht="15.75">
      <c r="A18" s="25" t="s">
        <v>44</v>
      </c>
      <c r="B18" s="25"/>
      <c r="C18" s="25" t="s">
        <v>45</v>
      </c>
      <c r="D18" s="25"/>
      <c r="E18" s="25"/>
      <c r="F18" s="25"/>
      <c r="G18" s="25">
        <f>+SUM(G19:G24)</f>
        <v>0</v>
      </c>
    </row>
    <row r="19" spans="1:7" ht="15">
      <c r="A19" s="28"/>
      <c r="B19" s="29" t="s">
        <v>46</v>
      </c>
      <c r="C19" s="39" t="s">
        <v>47</v>
      </c>
      <c r="D19" s="40" t="s">
        <v>32</v>
      </c>
      <c r="E19" s="40">
        <f>45*1</f>
        <v>45</v>
      </c>
      <c r="F19" s="48"/>
      <c r="G19" s="49">
        <f aca="true" t="shared" si="0" ref="G19:G24">ROUND(E19*F19,2)</f>
        <v>0</v>
      </c>
    </row>
    <row r="20" spans="1:7" ht="30">
      <c r="A20" s="28"/>
      <c r="B20" s="29" t="s">
        <v>48</v>
      </c>
      <c r="C20" s="39" t="s">
        <v>49</v>
      </c>
      <c r="D20" s="40" t="s">
        <v>50</v>
      </c>
      <c r="E20" s="40">
        <v>340.1</v>
      </c>
      <c r="F20" s="48"/>
      <c r="G20" s="49">
        <f>ROUND(E20*F20,2)</f>
        <v>0</v>
      </c>
    </row>
    <row r="21" spans="1:7" ht="15">
      <c r="A21" s="28"/>
      <c r="B21" s="29" t="s">
        <v>51</v>
      </c>
      <c r="C21" s="39" t="s">
        <v>52</v>
      </c>
      <c r="D21" s="40" t="s">
        <v>35</v>
      </c>
      <c r="E21" s="40">
        <f>50*4*0.25</f>
        <v>50</v>
      </c>
      <c r="F21" s="38"/>
      <c r="G21" s="49">
        <f t="shared" si="0"/>
        <v>0</v>
      </c>
    </row>
    <row r="22" spans="1:7" ht="18">
      <c r="A22" s="28"/>
      <c r="B22" s="34"/>
      <c r="C22" s="35" t="s">
        <v>53</v>
      </c>
      <c r="D22" s="50" t="s">
        <v>54</v>
      </c>
      <c r="E22" s="42">
        <f>E21*40</f>
        <v>2000</v>
      </c>
      <c r="F22" s="38"/>
      <c r="G22" s="49">
        <f t="shared" si="0"/>
        <v>0</v>
      </c>
    </row>
    <row r="23" spans="1:7" ht="15">
      <c r="A23" s="28"/>
      <c r="B23" s="51" t="s">
        <v>55</v>
      </c>
      <c r="C23" s="35" t="s">
        <v>56</v>
      </c>
      <c r="D23" s="35" t="s">
        <v>50</v>
      </c>
      <c r="E23" s="40">
        <f>100*10</f>
        <v>1000</v>
      </c>
      <c r="F23" s="38"/>
      <c r="G23" s="49">
        <f t="shared" si="0"/>
        <v>0</v>
      </c>
    </row>
    <row r="24" spans="1:7" ht="15">
      <c r="A24" s="28"/>
      <c r="B24" s="29" t="s">
        <v>57</v>
      </c>
      <c r="C24" s="52" t="s">
        <v>58</v>
      </c>
      <c r="D24" s="40" t="s">
        <v>59</v>
      </c>
      <c r="E24" s="40">
        <f>E23*1.75</f>
        <v>1750</v>
      </c>
      <c r="F24" s="38"/>
      <c r="G24" s="49">
        <f t="shared" si="0"/>
        <v>0</v>
      </c>
    </row>
    <row r="25" spans="1:14" ht="15">
      <c r="A25" s="28"/>
      <c r="B25" s="34"/>
      <c r="C25" s="35"/>
      <c r="D25" s="50"/>
      <c r="E25" s="42"/>
      <c r="F25" s="38"/>
      <c r="G25" s="32"/>
      <c r="N25" s="53"/>
    </row>
    <row r="26" spans="1:7" ht="15.75">
      <c r="A26" s="24" t="s">
        <v>60</v>
      </c>
      <c r="B26" s="25"/>
      <c r="C26" s="25" t="s">
        <v>61</v>
      </c>
      <c r="D26" s="25"/>
      <c r="E26" s="25"/>
      <c r="F26" s="26"/>
      <c r="G26" s="27">
        <f>+SUM(G27:G28)</f>
        <v>0</v>
      </c>
    </row>
    <row r="27" spans="1:7" ht="15">
      <c r="A27" s="28"/>
      <c r="B27" s="45" t="s">
        <v>62</v>
      </c>
      <c r="C27" s="43" t="s">
        <v>63</v>
      </c>
      <c r="D27" s="44" t="s">
        <v>32</v>
      </c>
      <c r="E27" s="44">
        <v>6.93</v>
      </c>
      <c r="F27" s="38"/>
      <c r="G27" s="32">
        <f>ROUND(E27*F27,2)</f>
        <v>0</v>
      </c>
    </row>
    <row r="28" spans="1:7" ht="15">
      <c r="A28" s="33"/>
      <c r="B28" s="40" t="s">
        <v>64</v>
      </c>
      <c r="C28" s="39" t="s">
        <v>65</v>
      </c>
      <c r="D28" s="40" t="s">
        <v>32</v>
      </c>
      <c r="E28" s="40">
        <v>2.55</v>
      </c>
      <c r="F28" s="48"/>
      <c r="G28" s="32">
        <f>ROUND(E28*F28,2)</f>
        <v>0</v>
      </c>
    </row>
    <row r="29" spans="1:7" ht="15.75" thickBot="1">
      <c r="A29" s="33"/>
      <c r="B29" s="50"/>
      <c r="C29" s="35"/>
      <c r="D29" s="50"/>
      <c r="E29" s="47"/>
      <c r="F29" s="38"/>
      <c r="G29" s="32"/>
    </row>
    <row r="30" spans="1:7" ht="16.5" thickBot="1">
      <c r="A30" s="54"/>
      <c r="B30" s="55"/>
      <c r="C30" s="56"/>
      <c r="D30" s="55"/>
      <c r="E30" s="129" t="s">
        <v>66</v>
      </c>
      <c r="F30" s="130"/>
      <c r="G30" s="57">
        <f>SUM(G8+G14+G26+G18)</f>
        <v>0</v>
      </c>
    </row>
  </sheetData>
  <sheetProtection/>
  <mergeCells count="4">
    <mergeCell ref="A3:G3"/>
    <mergeCell ref="A4:G4"/>
    <mergeCell ref="A6:G6"/>
    <mergeCell ref="E30:F30"/>
  </mergeCells>
  <printOptions/>
  <pageMargins left="0.7" right="0.7" top="0.75" bottom="0.75" header="0.3" footer="0.3"/>
  <pageSetup horizontalDpi="600" verticalDpi="600" orientation="portrait" scale="4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G32"/>
  <sheetViews>
    <sheetView view="pageBreakPreview" zoomScale="60" zoomScaleNormal="80" zoomScalePageLayoutView="0" workbookViewId="0" topLeftCell="B19">
      <selection activeCell="E15" sqref="E15"/>
    </sheetView>
  </sheetViews>
  <sheetFormatPr defaultColWidth="11.421875" defaultRowHeight="15"/>
  <cols>
    <col min="1" max="1" width="10.28125" style="0" customWidth="1"/>
    <col min="2" max="2" width="14.421875" style="0" bestFit="1" customWidth="1"/>
    <col min="3" max="3" width="80.7109375" style="0" customWidth="1"/>
    <col min="5" max="5" width="16.8515625" style="0" customWidth="1"/>
    <col min="6" max="6" width="17.28125" style="0" customWidth="1"/>
    <col min="7" max="7" width="22.140625" style="0" customWidth="1"/>
    <col min="14" max="14" width="15.00390625" style="0" bestFit="1" customWidth="1"/>
  </cols>
  <sheetData>
    <row r="2" ht="15.75" thickBot="1"/>
    <row r="3" spans="1:7" ht="16.5" customHeight="1" thickBot="1">
      <c r="A3" s="120" t="s">
        <v>13</v>
      </c>
      <c r="B3" s="121"/>
      <c r="C3" s="121"/>
      <c r="D3" s="121"/>
      <c r="E3" s="121"/>
      <c r="F3" s="121"/>
      <c r="G3" s="122"/>
    </row>
    <row r="4" spans="1:7" ht="16.5" thickBot="1">
      <c r="A4" s="123" t="s">
        <v>67</v>
      </c>
      <c r="B4" s="124"/>
      <c r="C4" s="124"/>
      <c r="D4" s="124"/>
      <c r="E4" s="124"/>
      <c r="F4" s="124"/>
      <c r="G4" s="125"/>
    </row>
    <row r="5" spans="1:7" ht="17.25" thickBot="1">
      <c r="A5" s="16" t="s">
        <v>15</v>
      </c>
      <c r="B5" s="17" t="s">
        <v>68</v>
      </c>
      <c r="C5" s="18"/>
      <c r="D5" s="18"/>
      <c r="E5" s="18"/>
      <c r="F5" s="18"/>
      <c r="G5" s="19"/>
    </row>
    <row r="6" spans="1:7" ht="19.5" thickBot="1">
      <c r="A6" s="126" t="s">
        <v>17</v>
      </c>
      <c r="B6" s="127"/>
      <c r="C6" s="127"/>
      <c r="D6" s="127"/>
      <c r="E6" s="127"/>
      <c r="F6" s="127"/>
      <c r="G6" s="128"/>
    </row>
    <row r="7" spans="1:7" ht="31.5">
      <c r="A7" s="20" t="s">
        <v>18</v>
      </c>
      <c r="B7" s="21" t="s">
        <v>19</v>
      </c>
      <c r="C7" s="21" t="s">
        <v>20</v>
      </c>
      <c r="D7" s="21" t="s">
        <v>21</v>
      </c>
      <c r="E7" s="21" t="s">
        <v>22</v>
      </c>
      <c r="F7" s="22" t="s">
        <v>23</v>
      </c>
      <c r="G7" s="23" t="s">
        <v>24</v>
      </c>
    </row>
    <row r="8" spans="1:7" ht="15.75">
      <c r="A8" s="24" t="s">
        <v>25</v>
      </c>
      <c r="B8" s="25" t="s">
        <v>69</v>
      </c>
      <c r="C8" s="25" t="s">
        <v>70</v>
      </c>
      <c r="D8" s="25"/>
      <c r="E8" s="25"/>
      <c r="F8" s="26"/>
      <c r="G8" s="27"/>
    </row>
    <row r="9" spans="1:7" ht="15.75">
      <c r="A9" s="51"/>
      <c r="B9" s="51"/>
      <c r="C9" s="58" t="s">
        <v>26</v>
      </c>
      <c r="D9" s="51"/>
      <c r="E9" s="51"/>
      <c r="F9" s="51"/>
      <c r="G9" s="58">
        <f>+SUM(G11:G12)</f>
        <v>0</v>
      </c>
    </row>
    <row r="10" spans="1:6" ht="15">
      <c r="A10" s="51"/>
      <c r="B10" s="51"/>
      <c r="C10" s="51"/>
      <c r="D10" s="51"/>
      <c r="E10" s="51"/>
      <c r="F10" s="51"/>
    </row>
    <row r="11" spans="1:7" ht="15">
      <c r="A11" s="51"/>
      <c r="B11" s="51" t="s">
        <v>30</v>
      </c>
      <c r="C11" s="35" t="s">
        <v>31</v>
      </c>
      <c r="D11" s="35" t="s">
        <v>32</v>
      </c>
      <c r="E11" s="35">
        <v>3010</v>
      </c>
      <c r="F11" s="38"/>
      <c r="G11" s="51">
        <f>ROUND(E11*F11,2)</f>
        <v>0</v>
      </c>
    </row>
    <row r="12" spans="1:7" ht="15">
      <c r="A12" s="51"/>
      <c r="B12" s="51" t="s">
        <v>33</v>
      </c>
      <c r="C12" s="35" t="s">
        <v>34</v>
      </c>
      <c r="D12" s="35" t="s">
        <v>35</v>
      </c>
      <c r="E12" s="35">
        <f>500*3*8</f>
        <v>12000</v>
      </c>
      <c r="F12" s="38"/>
      <c r="G12" s="51">
        <f>ROUND(E12*F12,2)</f>
        <v>0</v>
      </c>
    </row>
    <row r="13" spans="1:7" ht="15">
      <c r="A13" s="51"/>
      <c r="B13" s="51"/>
      <c r="C13" s="35"/>
      <c r="D13" s="35"/>
      <c r="E13" s="35"/>
      <c r="F13" s="35"/>
      <c r="G13" s="51"/>
    </row>
    <row r="14" spans="1:7" ht="15.75">
      <c r="A14" s="51" t="s">
        <v>71</v>
      </c>
      <c r="B14" s="51"/>
      <c r="C14" s="59" t="s">
        <v>72</v>
      </c>
      <c r="D14" s="35"/>
      <c r="E14" s="35"/>
      <c r="F14" s="35"/>
      <c r="G14" s="51"/>
    </row>
    <row r="15" spans="1:7" ht="15.75">
      <c r="A15" s="51"/>
      <c r="B15" s="51"/>
      <c r="C15" s="35"/>
      <c r="D15" s="35"/>
      <c r="E15" s="35"/>
      <c r="F15" s="35"/>
      <c r="G15" s="58">
        <f>+SUM(G16:G24)</f>
        <v>0</v>
      </c>
    </row>
    <row r="16" spans="1:7" ht="15">
      <c r="A16" s="51"/>
      <c r="B16" s="51" t="s">
        <v>73</v>
      </c>
      <c r="C16" s="35" t="s">
        <v>74</v>
      </c>
      <c r="D16" s="35" t="s">
        <v>32</v>
      </c>
      <c r="E16" s="35">
        <f>500*0.1*8</f>
        <v>400</v>
      </c>
      <c r="F16" s="35"/>
      <c r="G16" s="51">
        <f aca="true" t="shared" si="0" ref="G16:G24">ROUND(E16*F16,2)</f>
        <v>0</v>
      </c>
    </row>
    <row r="17" spans="1:7" ht="15">
      <c r="A17" s="51"/>
      <c r="B17" s="51" t="s">
        <v>75</v>
      </c>
      <c r="C17" s="35" t="s">
        <v>76</v>
      </c>
      <c r="D17" s="35" t="s">
        <v>50</v>
      </c>
      <c r="E17" s="35">
        <v>1600</v>
      </c>
      <c r="F17" s="35"/>
      <c r="G17" s="51">
        <f t="shared" si="0"/>
        <v>0</v>
      </c>
    </row>
    <row r="18" spans="1:7" ht="15">
      <c r="A18" s="51"/>
      <c r="B18" s="51" t="s">
        <v>77</v>
      </c>
      <c r="C18" s="35" t="s">
        <v>78</v>
      </c>
      <c r="D18" s="35" t="s">
        <v>50</v>
      </c>
      <c r="E18" s="35">
        <v>1600</v>
      </c>
      <c r="F18" s="35"/>
      <c r="G18" s="51">
        <f t="shared" si="0"/>
        <v>0</v>
      </c>
    </row>
    <row r="19" spans="1:7" ht="15">
      <c r="A19" s="51"/>
      <c r="B19" s="51" t="s">
        <v>79</v>
      </c>
      <c r="C19" s="35" t="s">
        <v>80</v>
      </c>
      <c r="D19" s="35" t="s">
        <v>32</v>
      </c>
      <c r="E19" s="35">
        <f>500*0.3*8</f>
        <v>1200</v>
      </c>
      <c r="F19" s="35"/>
      <c r="G19" s="51">
        <f t="shared" si="0"/>
        <v>0</v>
      </c>
    </row>
    <row r="20" spans="1:7" ht="15">
      <c r="A20" s="51"/>
      <c r="B20" s="51" t="s">
        <v>81</v>
      </c>
      <c r="C20" s="35" t="s">
        <v>82</v>
      </c>
      <c r="D20" s="35" t="s">
        <v>35</v>
      </c>
      <c r="E20" s="35">
        <f>+E19</f>
        <v>1200</v>
      </c>
      <c r="F20" s="35"/>
      <c r="G20" s="51">
        <f t="shared" si="0"/>
        <v>0</v>
      </c>
    </row>
    <row r="21" spans="1:7" ht="15">
      <c r="A21" s="51"/>
      <c r="B21" s="51" t="s">
        <v>83</v>
      </c>
      <c r="C21" s="35" t="s">
        <v>84</v>
      </c>
      <c r="D21" s="35" t="s">
        <v>32</v>
      </c>
      <c r="E21" s="35">
        <f>500*0.2*8</f>
        <v>800</v>
      </c>
      <c r="F21" s="35"/>
      <c r="G21" s="51">
        <f t="shared" si="0"/>
        <v>0</v>
      </c>
    </row>
    <row r="22" spans="1:7" ht="15">
      <c r="A22" s="51"/>
      <c r="B22" s="51" t="s">
        <v>85</v>
      </c>
      <c r="C22" s="35" t="s">
        <v>86</v>
      </c>
      <c r="D22" s="35" t="s">
        <v>35</v>
      </c>
      <c r="E22" s="35">
        <f>+E21</f>
        <v>800</v>
      </c>
      <c r="F22" s="35"/>
      <c r="G22" s="51">
        <f t="shared" si="0"/>
        <v>0</v>
      </c>
    </row>
    <row r="23" spans="1:7" ht="15">
      <c r="A23" s="51"/>
      <c r="B23" s="51" t="s">
        <v>57</v>
      </c>
      <c r="C23" s="35" t="s">
        <v>87</v>
      </c>
      <c r="D23" s="35" t="s">
        <v>88</v>
      </c>
      <c r="E23" s="35">
        <v>2336</v>
      </c>
      <c r="F23" s="35"/>
      <c r="G23" s="51">
        <f t="shared" si="0"/>
        <v>0</v>
      </c>
    </row>
    <row r="24" spans="1:7" ht="15">
      <c r="A24" s="51"/>
      <c r="B24" s="51" t="s">
        <v>55</v>
      </c>
      <c r="C24" s="35" t="s">
        <v>56</v>
      </c>
      <c r="D24" s="35" t="s">
        <v>50</v>
      </c>
      <c r="E24" s="35">
        <f>500*8</f>
        <v>4000</v>
      </c>
      <c r="F24" s="35"/>
      <c r="G24" s="51">
        <f t="shared" si="0"/>
        <v>0</v>
      </c>
    </row>
    <row r="25" spans="1:7" ht="15">
      <c r="A25" s="51"/>
      <c r="B25" s="51"/>
      <c r="C25" s="35"/>
      <c r="D25" s="35"/>
      <c r="E25" s="35"/>
      <c r="F25" s="35"/>
      <c r="G25" s="51"/>
    </row>
    <row r="26" spans="1:7" ht="15.75">
      <c r="A26" s="51" t="s">
        <v>89</v>
      </c>
      <c r="B26" s="51"/>
      <c r="C26" s="59" t="s">
        <v>61</v>
      </c>
      <c r="D26" s="35"/>
      <c r="E26" s="35"/>
      <c r="F26" s="35"/>
      <c r="G26" s="58">
        <f>+SUM(G27:G31)</f>
        <v>0</v>
      </c>
    </row>
    <row r="27" spans="1:7" ht="15">
      <c r="A27" s="51"/>
      <c r="B27" s="51" t="s">
        <v>62</v>
      </c>
      <c r="C27" s="35" t="s">
        <v>63</v>
      </c>
      <c r="D27" s="35" t="s">
        <v>32</v>
      </c>
      <c r="E27" s="35">
        <v>450</v>
      </c>
      <c r="F27" s="35"/>
      <c r="G27" s="51">
        <f>ROUND(E27*F27,2)</f>
        <v>0</v>
      </c>
    </row>
    <row r="28" spans="1:7" ht="30">
      <c r="A28" s="51"/>
      <c r="B28" s="51" t="s">
        <v>64</v>
      </c>
      <c r="C28" s="35" t="s">
        <v>90</v>
      </c>
      <c r="D28" s="35" t="s">
        <v>32</v>
      </c>
      <c r="E28" s="35">
        <v>68</v>
      </c>
      <c r="F28" s="35"/>
      <c r="G28" s="51">
        <f>ROUND(E28*F28,2)</f>
        <v>0</v>
      </c>
    </row>
    <row r="29" spans="1:7" ht="15">
      <c r="A29" s="51"/>
      <c r="B29" s="51" t="s">
        <v>91</v>
      </c>
      <c r="C29" s="35" t="s">
        <v>92</v>
      </c>
      <c r="D29" s="35" t="s">
        <v>32</v>
      </c>
      <c r="E29" s="35">
        <v>224</v>
      </c>
      <c r="F29" s="35"/>
      <c r="G29" s="51">
        <f>ROUND(E29*F29,2)</f>
        <v>0</v>
      </c>
    </row>
    <row r="30" spans="1:7" ht="15">
      <c r="A30" s="51"/>
      <c r="B30" s="51" t="s">
        <v>93</v>
      </c>
      <c r="C30" s="35" t="s">
        <v>94</v>
      </c>
      <c r="D30" s="35" t="s">
        <v>95</v>
      </c>
      <c r="E30" s="35">
        <v>400</v>
      </c>
      <c r="F30" s="35"/>
      <c r="G30" s="51">
        <f>ROUND(E30*F30,2)</f>
        <v>0</v>
      </c>
    </row>
    <row r="31" spans="1:7" ht="15.75" thickBot="1">
      <c r="A31" s="51"/>
      <c r="B31" s="51" t="s">
        <v>77</v>
      </c>
      <c r="C31" s="35" t="s">
        <v>78</v>
      </c>
      <c r="D31" s="35" t="s">
        <v>50</v>
      </c>
      <c r="E31" s="35">
        <v>1440</v>
      </c>
      <c r="F31" s="35"/>
      <c r="G31" s="51">
        <f>ROUND(E31*F31,2)</f>
        <v>0</v>
      </c>
    </row>
    <row r="32" spans="1:7" ht="16.5" thickBot="1">
      <c r="A32" s="54"/>
      <c r="B32" s="55"/>
      <c r="C32" s="56"/>
      <c r="D32" s="55"/>
      <c r="E32" s="129" t="s">
        <v>66</v>
      </c>
      <c r="F32" s="130"/>
      <c r="G32" s="57">
        <f>+G26+G15+G9</f>
        <v>0</v>
      </c>
    </row>
  </sheetData>
  <sheetProtection/>
  <mergeCells count="4">
    <mergeCell ref="A3:G3"/>
    <mergeCell ref="A4:G4"/>
    <mergeCell ref="A6:G6"/>
    <mergeCell ref="E32:F32"/>
  </mergeCells>
  <printOptions/>
  <pageMargins left="0.7" right="0.7" top="0.75" bottom="0.75" header="0.3" footer="0.3"/>
  <pageSetup horizontalDpi="600" verticalDpi="600" orientation="portrait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36"/>
  <sheetViews>
    <sheetView view="pageBreakPreview" zoomScale="60" zoomScaleNormal="80" zoomScalePageLayoutView="0" workbookViewId="0" topLeftCell="A1">
      <selection activeCell="E15" sqref="E15"/>
    </sheetView>
  </sheetViews>
  <sheetFormatPr defaultColWidth="11.421875" defaultRowHeight="15"/>
  <cols>
    <col min="1" max="1" width="10.28125" style="0" customWidth="1"/>
    <col min="2" max="2" width="14.421875" style="0" bestFit="1" customWidth="1"/>
    <col min="3" max="3" width="80.7109375" style="0" customWidth="1"/>
    <col min="4" max="4" width="14.28125" style="0" customWidth="1"/>
    <col min="5" max="5" width="16.8515625" style="0" customWidth="1"/>
    <col min="6" max="6" width="17.28125" style="0" customWidth="1"/>
    <col min="7" max="7" width="22.140625" style="0" customWidth="1"/>
    <col min="14" max="14" width="15.00390625" style="0" bestFit="1" customWidth="1"/>
  </cols>
  <sheetData>
    <row r="2" ht="15.75" thickBot="1"/>
    <row r="3" spans="1:7" ht="16.5" customHeight="1" thickBot="1">
      <c r="A3" s="120" t="s">
        <v>13</v>
      </c>
      <c r="B3" s="121"/>
      <c r="C3" s="121"/>
      <c r="D3" s="121"/>
      <c r="E3" s="121"/>
      <c r="F3" s="121"/>
      <c r="G3" s="122"/>
    </row>
    <row r="4" spans="1:7" ht="16.5" thickBot="1">
      <c r="A4" s="123" t="s">
        <v>96</v>
      </c>
      <c r="B4" s="124"/>
      <c r="C4" s="124"/>
      <c r="D4" s="124"/>
      <c r="E4" s="124"/>
      <c r="F4" s="124"/>
      <c r="G4" s="125"/>
    </row>
    <row r="5" spans="1:7" ht="17.25" thickBot="1">
      <c r="A5" s="16" t="s">
        <v>15</v>
      </c>
      <c r="B5" s="17" t="s">
        <v>97</v>
      </c>
      <c r="C5" s="18"/>
      <c r="D5" s="18"/>
      <c r="E5" s="18"/>
      <c r="F5" s="18"/>
      <c r="G5" s="19"/>
    </row>
    <row r="6" spans="1:7" ht="19.5" thickBot="1">
      <c r="A6" s="126" t="s">
        <v>17</v>
      </c>
      <c r="B6" s="127"/>
      <c r="C6" s="127"/>
      <c r="D6" s="127"/>
      <c r="E6" s="127"/>
      <c r="F6" s="127"/>
      <c r="G6" s="128"/>
    </row>
    <row r="7" spans="1:7" ht="31.5">
      <c r="A7" s="60" t="s">
        <v>18</v>
      </c>
      <c r="B7" s="21" t="s">
        <v>19</v>
      </c>
      <c r="C7" s="21" t="s">
        <v>20</v>
      </c>
      <c r="D7" s="21" t="s">
        <v>21</v>
      </c>
      <c r="E7" s="21" t="s">
        <v>22</v>
      </c>
      <c r="F7" s="22" t="s">
        <v>23</v>
      </c>
      <c r="G7" s="23" t="s">
        <v>24</v>
      </c>
    </row>
    <row r="8" spans="1:7" ht="15.75">
      <c r="A8" s="24" t="s">
        <v>25</v>
      </c>
      <c r="B8" s="25" t="s">
        <v>69</v>
      </c>
      <c r="C8" s="25" t="s">
        <v>70</v>
      </c>
      <c r="D8" s="25"/>
      <c r="E8" s="25"/>
      <c r="F8" s="26"/>
      <c r="G8" s="27"/>
    </row>
    <row r="9" spans="1:7" ht="15.75">
      <c r="A9" s="51"/>
      <c r="B9" s="51"/>
      <c r="C9" s="58" t="s">
        <v>26</v>
      </c>
      <c r="D9" s="51"/>
      <c r="E9" s="51"/>
      <c r="F9" s="51"/>
      <c r="G9" s="58">
        <f>+SUM(G11:G12)</f>
        <v>0</v>
      </c>
    </row>
    <row r="10" spans="1:7" ht="15">
      <c r="A10" s="51"/>
      <c r="B10" s="51"/>
      <c r="C10" s="51"/>
      <c r="D10" s="51"/>
      <c r="E10" s="51"/>
      <c r="F10" s="35"/>
      <c r="G10" s="61"/>
    </row>
    <row r="11" spans="1:7" ht="15">
      <c r="A11" s="51"/>
      <c r="B11" s="51" t="s">
        <v>30</v>
      </c>
      <c r="C11" s="51" t="s">
        <v>31</v>
      </c>
      <c r="D11" s="51" t="s">
        <v>32</v>
      </c>
      <c r="E11" s="51">
        <v>1800</v>
      </c>
      <c r="F11" s="35"/>
      <c r="G11" s="35">
        <f>ROUND(E11*F11,2)</f>
        <v>0</v>
      </c>
    </row>
    <row r="12" spans="1:7" ht="15">
      <c r="A12" s="51"/>
      <c r="B12" s="51" t="s">
        <v>33</v>
      </c>
      <c r="C12" s="51" t="s">
        <v>34</v>
      </c>
      <c r="D12" s="51" t="s">
        <v>35</v>
      </c>
      <c r="E12" s="51">
        <f>75*3*8</f>
        <v>1800</v>
      </c>
      <c r="F12" s="35"/>
      <c r="G12" s="35">
        <f>ROUND(E12*F12,2)</f>
        <v>0</v>
      </c>
    </row>
    <row r="13" spans="1:7" ht="15">
      <c r="A13" s="51"/>
      <c r="B13" s="51"/>
      <c r="C13" s="51"/>
      <c r="D13" s="51"/>
      <c r="E13" s="51"/>
      <c r="F13" s="51"/>
      <c r="G13" s="51"/>
    </row>
    <row r="14" spans="1:7" ht="15.75">
      <c r="A14" s="24" t="s">
        <v>71</v>
      </c>
      <c r="B14" s="51"/>
      <c r="C14" s="24" t="s">
        <v>72</v>
      </c>
      <c r="D14" s="51"/>
      <c r="E14" s="51"/>
      <c r="F14" s="51"/>
      <c r="G14" s="51"/>
    </row>
    <row r="15" spans="1:7" ht="15.75">
      <c r="A15" s="51"/>
      <c r="B15" s="51"/>
      <c r="C15" s="51"/>
      <c r="D15" s="51"/>
      <c r="E15" s="51"/>
      <c r="F15" s="51"/>
      <c r="G15" s="58">
        <f>+SUM(G16:G24)</f>
        <v>0</v>
      </c>
    </row>
    <row r="16" spans="1:7" ht="15">
      <c r="A16" s="51"/>
      <c r="B16" s="51" t="s">
        <v>73</v>
      </c>
      <c r="C16" s="35" t="s">
        <v>74</v>
      </c>
      <c r="D16" s="35" t="s">
        <v>32</v>
      </c>
      <c r="E16" s="35">
        <f>75*0.1*8</f>
        <v>60</v>
      </c>
      <c r="F16" s="35"/>
      <c r="G16" s="51">
        <f aca="true" t="shared" si="0" ref="G16:G28">ROUND(E16*F16,2)</f>
        <v>0</v>
      </c>
    </row>
    <row r="17" spans="1:7" ht="15">
      <c r="A17" s="51"/>
      <c r="B17" s="51" t="s">
        <v>75</v>
      </c>
      <c r="C17" s="35" t="s">
        <v>76</v>
      </c>
      <c r="D17" s="35" t="s">
        <v>50</v>
      </c>
      <c r="E17" s="35">
        <f>8*75</f>
        <v>600</v>
      </c>
      <c r="F17" s="35"/>
      <c r="G17" s="51">
        <f t="shared" si="0"/>
        <v>0</v>
      </c>
    </row>
    <row r="18" spans="1:7" ht="15">
      <c r="A18" s="51"/>
      <c r="B18" s="51" t="s">
        <v>77</v>
      </c>
      <c r="C18" s="35" t="s">
        <v>78</v>
      </c>
      <c r="D18" s="35" t="s">
        <v>50</v>
      </c>
      <c r="E18" s="35">
        <f>75*11</f>
        <v>825</v>
      </c>
      <c r="F18" s="35"/>
      <c r="G18" s="51">
        <f t="shared" si="0"/>
        <v>0</v>
      </c>
    </row>
    <row r="19" spans="1:7" ht="15">
      <c r="A19" s="51"/>
      <c r="B19" s="51" t="s">
        <v>79</v>
      </c>
      <c r="C19" s="35" t="s">
        <v>80</v>
      </c>
      <c r="D19" s="35" t="s">
        <v>32</v>
      </c>
      <c r="E19" s="35">
        <f>75*0.3*8</f>
        <v>180</v>
      </c>
      <c r="F19" s="35"/>
      <c r="G19" s="51">
        <f t="shared" si="0"/>
        <v>0</v>
      </c>
    </row>
    <row r="20" spans="1:7" ht="15">
      <c r="A20" s="51"/>
      <c r="B20" s="51" t="s">
        <v>81</v>
      </c>
      <c r="C20" s="35" t="s">
        <v>82</v>
      </c>
      <c r="D20" s="35" t="s">
        <v>35</v>
      </c>
      <c r="E20" s="35">
        <f>+E19</f>
        <v>180</v>
      </c>
      <c r="F20" s="35"/>
      <c r="G20" s="51">
        <f t="shared" si="0"/>
        <v>0</v>
      </c>
    </row>
    <row r="21" spans="1:7" ht="15">
      <c r="A21" s="51"/>
      <c r="B21" s="51" t="s">
        <v>83</v>
      </c>
      <c r="C21" s="35" t="s">
        <v>84</v>
      </c>
      <c r="D21" s="35" t="s">
        <v>32</v>
      </c>
      <c r="E21" s="35">
        <f>75*0.2*8</f>
        <v>120</v>
      </c>
      <c r="F21" s="35"/>
      <c r="G21" s="51">
        <f t="shared" si="0"/>
        <v>0</v>
      </c>
    </row>
    <row r="22" spans="1:7" ht="15">
      <c r="A22" s="51"/>
      <c r="B22" s="51" t="s">
        <v>85</v>
      </c>
      <c r="C22" s="35" t="s">
        <v>86</v>
      </c>
      <c r="D22" s="35" t="s">
        <v>35</v>
      </c>
      <c r="E22" s="35">
        <f>+E21</f>
        <v>120</v>
      </c>
      <c r="F22" s="35"/>
      <c r="G22" s="51">
        <f t="shared" si="0"/>
        <v>0</v>
      </c>
    </row>
    <row r="23" spans="1:7" ht="15">
      <c r="A23" s="51"/>
      <c r="B23" s="51" t="s">
        <v>57</v>
      </c>
      <c r="C23" s="35" t="s">
        <v>87</v>
      </c>
      <c r="D23" s="35" t="s">
        <v>88</v>
      </c>
      <c r="E23" s="35">
        <v>1100</v>
      </c>
      <c r="F23" s="35"/>
      <c r="G23" s="51">
        <f t="shared" si="0"/>
        <v>0</v>
      </c>
    </row>
    <row r="24" spans="1:7" ht="15">
      <c r="A24" s="51"/>
      <c r="B24" s="51" t="s">
        <v>55</v>
      </c>
      <c r="C24" s="35" t="s">
        <v>56</v>
      </c>
      <c r="D24" s="35" t="s">
        <v>50</v>
      </c>
      <c r="E24" s="35">
        <f>75*8</f>
        <v>600</v>
      </c>
      <c r="F24" s="35"/>
      <c r="G24" s="51">
        <f t="shared" si="0"/>
        <v>0</v>
      </c>
    </row>
    <row r="25" spans="1:7" ht="15.75">
      <c r="A25" s="24" t="s">
        <v>89</v>
      </c>
      <c r="B25" s="40"/>
      <c r="C25" s="25" t="s">
        <v>37</v>
      </c>
      <c r="D25" s="40"/>
      <c r="E25" s="40"/>
      <c r="F25" s="48"/>
      <c r="G25" s="58">
        <f>+SUM(G26:G28)</f>
        <v>0</v>
      </c>
    </row>
    <row r="26" spans="1:7" ht="15">
      <c r="A26" s="28"/>
      <c r="B26" s="45" t="s">
        <v>38</v>
      </c>
      <c r="C26" s="46" t="s">
        <v>39</v>
      </c>
      <c r="D26" s="47" t="s">
        <v>32</v>
      </c>
      <c r="E26" s="47">
        <f>75*1*1</f>
        <v>75</v>
      </c>
      <c r="F26" s="38"/>
      <c r="G26" s="51">
        <f t="shared" si="0"/>
        <v>0</v>
      </c>
    </row>
    <row r="27" spans="1:7" ht="15">
      <c r="A27" s="28"/>
      <c r="B27" s="29" t="s">
        <v>40</v>
      </c>
      <c r="C27" s="39" t="s">
        <v>41</v>
      </c>
      <c r="D27" s="40" t="s">
        <v>32</v>
      </c>
      <c r="E27" s="40">
        <f>6*75</f>
        <v>450</v>
      </c>
      <c r="F27" s="48"/>
      <c r="G27" s="51">
        <f t="shared" si="0"/>
        <v>0</v>
      </c>
    </row>
    <row r="28" spans="1:7" ht="15">
      <c r="A28" s="28"/>
      <c r="B28" s="29" t="s">
        <v>42</v>
      </c>
      <c r="C28" s="39" t="s">
        <v>43</v>
      </c>
      <c r="D28" s="40" t="s">
        <v>35</v>
      </c>
      <c r="E28" s="40">
        <v>450</v>
      </c>
      <c r="F28" s="48"/>
      <c r="G28" s="51">
        <f t="shared" si="0"/>
        <v>0</v>
      </c>
    </row>
    <row r="29" spans="1:7" ht="15">
      <c r="A29" s="51"/>
      <c r="B29" s="51"/>
      <c r="C29" s="51"/>
      <c r="D29" s="51"/>
      <c r="E29" s="51"/>
      <c r="F29" s="51"/>
      <c r="G29" s="51"/>
    </row>
    <row r="30" spans="1:7" ht="15.75">
      <c r="A30" s="24" t="s">
        <v>98</v>
      </c>
      <c r="B30" s="51"/>
      <c r="C30" s="25" t="s">
        <v>61</v>
      </c>
      <c r="D30" s="51"/>
      <c r="E30" s="51"/>
      <c r="F30" s="51"/>
      <c r="G30" s="58">
        <f>+SUM(G31:G35)</f>
        <v>0</v>
      </c>
    </row>
    <row r="31" spans="1:7" ht="15">
      <c r="A31" s="51"/>
      <c r="B31" s="51" t="s">
        <v>62</v>
      </c>
      <c r="C31" s="35" t="s">
        <v>63</v>
      </c>
      <c r="D31" s="35" t="s">
        <v>32</v>
      </c>
      <c r="E31" s="35">
        <f>(75*1*1)*2</f>
        <v>150</v>
      </c>
      <c r="F31" s="35"/>
      <c r="G31" s="35">
        <f>ROUND(E31*F31,2)</f>
        <v>0</v>
      </c>
    </row>
    <row r="32" spans="1:7" ht="30">
      <c r="A32" s="51"/>
      <c r="B32" s="51" t="s">
        <v>64</v>
      </c>
      <c r="C32" s="35" t="s">
        <v>90</v>
      </c>
      <c r="D32" s="35" t="s">
        <v>32</v>
      </c>
      <c r="E32" s="35">
        <v>75</v>
      </c>
      <c r="F32" s="35"/>
      <c r="G32" s="35">
        <f>ROUND(E32*F32,2)</f>
        <v>0</v>
      </c>
    </row>
    <row r="33" spans="1:7" ht="15">
      <c r="A33" s="51"/>
      <c r="B33" s="51" t="s">
        <v>91</v>
      </c>
      <c r="C33" s="35" t="s">
        <v>92</v>
      </c>
      <c r="D33" s="35" t="s">
        <v>32</v>
      </c>
      <c r="E33" s="35">
        <f>(65*1*1)*2</f>
        <v>130</v>
      </c>
      <c r="F33" s="35"/>
      <c r="G33" s="35">
        <f>ROUND(E33*F33,2)</f>
        <v>0</v>
      </c>
    </row>
    <row r="34" spans="1:7" ht="15">
      <c r="A34" s="51"/>
      <c r="B34" s="51" t="s">
        <v>93</v>
      </c>
      <c r="C34" s="35" t="s">
        <v>94</v>
      </c>
      <c r="D34" s="35" t="s">
        <v>95</v>
      </c>
      <c r="E34" s="35">
        <f>75*2</f>
        <v>150</v>
      </c>
      <c r="F34" s="35"/>
      <c r="G34" s="35">
        <f>ROUND(E34*F34,2)</f>
        <v>0</v>
      </c>
    </row>
    <row r="35" spans="1:7" ht="15.75" thickBot="1">
      <c r="A35" s="51"/>
      <c r="B35" s="51" t="s">
        <v>77</v>
      </c>
      <c r="C35" s="35" t="s">
        <v>78</v>
      </c>
      <c r="D35" s="35" t="s">
        <v>50</v>
      </c>
      <c r="E35" s="35">
        <f>75*2*1</f>
        <v>150</v>
      </c>
      <c r="F35" s="35"/>
      <c r="G35" s="35">
        <f>ROUND(E35*F35,2)</f>
        <v>0</v>
      </c>
    </row>
    <row r="36" spans="1:7" ht="16.5" thickBot="1">
      <c r="A36" s="54"/>
      <c r="B36" s="55"/>
      <c r="C36" s="56"/>
      <c r="D36" s="55"/>
      <c r="E36" s="129" t="s">
        <v>66</v>
      </c>
      <c r="F36" s="130"/>
      <c r="G36" s="57">
        <f>+G30+G15+G9+G25</f>
        <v>0</v>
      </c>
    </row>
  </sheetData>
  <sheetProtection/>
  <mergeCells count="4">
    <mergeCell ref="A3:G3"/>
    <mergeCell ref="A4:G4"/>
    <mergeCell ref="A6:G6"/>
    <mergeCell ref="E36:F36"/>
  </mergeCells>
  <printOptions/>
  <pageMargins left="0.7" right="0.7" top="0.75" bottom="0.75" header="0.3" footer="0.3"/>
  <pageSetup horizontalDpi="600" verticalDpi="600" orientation="portrait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36"/>
  <sheetViews>
    <sheetView view="pageBreakPreview" zoomScale="60" zoomScaleNormal="80" zoomScalePageLayoutView="0" workbookViewId="0" topLeftCell="A1">
      <selection activeCell="E15" sqref="E15"/>
    </sheetView>
  </sheetViews>
  <sheetFormatPr defaultColWidth="11.421875" defaultRowHeight="15"/>
  <cols>
    <col min="1" max="1" width="10.28125" style="0" customWidth="1"/>
    <col min="2" max="2" width="14.421875" style="0" bestFit="1" customWidth="1"/>
    <col min="3" max="3" width="80.7109375" style="0" customWidth="1"/>
    <col min="4" max="4" width="15.00390625" style="0" customWidth="1"/>
    <col min="5" max="6" width="17.28125" style="0" customWidth="1"/>
    <col min="7" max="7" width="22.140625" style="0" customWidth="1"/>
    <col min="14" max="14" width="15.00390625" style="0" bestFit="1" customWidth="1"/>
  </cols>
  <sheetData>
    <row r="2" ht="15.75" thickBot="1"/>
    <row r="3" spans="1:7" ht="16.5" customHeight="1" thickBot="1">
      <c r="A3" s="120" t="s">
        <v>13</v>
      </c>
      <c r="B3" s="121"/>
      <c r="C3" s="121"/>
      <c r="D3" s="121"/>
      <c r="E3" s="121"/>
      <c r="F3" s="121"/>
      <c r="G3" s="122"/>
    </row>
    <row r="4" spans="1:7" ht="16.5" customHeight="1" thickBot="1">
      <c r="A4" s="123" t="s">
        <v>99</v>
      </c>
      <c r="B4" s="124"/>
      <c r="C4" s="124"/>
      <c r="D4" s="124"/>
      <c r="E4" s="124"/>
      <c r="F4" s="124"/>
      <c r="G4" s="125"/>
    </row>
    <row r="5" spans="1:7" ht="17.25" thickBot="1">
      <c r="A5" s="16" t="s">
        <v>15</v>
      </c>
      <c r="B5" s="17" t="s">
        <v>100</v>
      </c>
      <c r="C5" s="18"/>
      <c r="D5" s="18"/>
      <c r="E5" s="18"/>
      <c r="F5" s="18"/>
      <c r="G5" s="19"/>
    </row>
    <row r="6" spans="1:7" ht="19.5" thickBot="1">
      <c r="A6" s="126" t="s">
        <v>17</v>
      </c>
      <c r="B6" s="127"/>
      <c r="C6" s="127"/>
      <c r="D6" s="127"/>
      <c r="E6" s="127"/>
      <c r="F6" s="127"/>
      <c r="G6" s="128"/>
    </row>
    <row r="7" spans="1:7" ht="31.5">
      <c r="A7" s="60" t="s">
        <v>18</v>
      </c>
      <c r="B7" s="21" t="s">
        <v>19</v>
      </c>
      <c r="C7" s="21" t="s">
        <v>20</v>
      </c>
      <c r="D7" s="21" t="s">
        <v>21</v>
      </c>
      <c r="E7" s="21" t="s">
        <v>22</v>
      </c>
      <c r="F7" s="22" t="s">
        <v>23</v>
      </c>
      <c r="G7" s="23" t="s">
        <v>24</v>
      </c>
    </row>
    <row r="8" spans="1:7" ht="15.75">
      <c r="A8" s="24" t="s">
        <v>25</v>
      </c>
      <c r="B8" s="25" t="s">
        <v>69</v>
      </c>
      <c r="C8" s="25" t="s">
        <v>70</v>
      </c>
      <c r="D8" s="25"/>
      <c r="E8" s="25"/>
      <c r="F8" s="26"/>
      <c r="G8" s="27">
        <f>SUM(G9:G11)</f>
        <v>0</v>
      </c>
    </row>
    <row r="9" spans="1:7" ht="15">
      <c r="A9" s="28"/>
      <c r="B9" s="29" t="s">
        <v>101</v>
      </c>
      <c r="C9" s="30" t="s">
        <v>102</v>
      </c>
      <c r="D9" s="29" t="s">
        <v>103</v>
      </c>
      <c r="E9" s="40">
        <v>0.05</v>
      </c>
      <c r="F9" s="38"/>
      <c r="G9" s="62">
        <f>ROUND(E9*F9,2)</f>
        <v>0</v>
      </c>
    </row>
    <row r="10" spans="1:7" ht="15">
      <c r="A10" s="33"/>
      <c r="B10" s="34" t="s">
        <v>104</v>
      </c>
      <c r="C10" s="51" t="s">
        <v>105</v>
      </c>
      <c r="D10" s="63" t="s">
        <v>32</v>
      </c>
      <c r="E10" s="37">
        <f>30*0.1*10</f>
        <v>30</v>
      </c>
      <c r="F10" s="38"/>
      <c r="G10" s="62">
        <f>ROUND(E10*F10,2)</f>
        <v>0</v>
      </c>
    </row>
    <row r="11" spans="1:7" ht="15">
      <c r="A11" s="28"/>
      <c r="B11" s="29"/>
      <c r="C11" s="30" t="s">
        <v>106</v>
      </c>
      <c r="D11" s="29" t="s">
        <v>107</v>
      </c>
      <c r="E11" s="40">
        <f>E10*28</f>
        <v>840</v>
      </c>
      <c r="F11" s="38"/>
      <c r="G11" s="62">
        <f>ROUND(E11*F11,2)</f>
        <v>0</v>
      </c>
    </row>
    <row r="12" spans="1:7" ht="15.75">
      <c r="A12" s="24" t="s">
        <v>36</v>
      </c>
      <c r="B12" s="25" t="s">
        <v>108</v>
      </c>
      <c r="C12" s="25" t="s">
        <v>109</v>
      </c>
      <c r="D12" s="25"/>
      <c r="E12" s="25"/>
      <c r="F12" s="26"/>
      <c r="G12" s="27">
        <f>SUM(G13:G20)</f>
        <v>0</v>
      </c>
    </row>
    <row r="13" spans="1:7" ht="15">
      <c r="A13" s="28"/>
      <c r="B13" s="45" t="s">
        <v>30</v>
      </c>
      <c r="C13" s="43" t="s">
        <v>110</v>
      </c>
      <c r="D13" s="44" t="s">
        <v>32</v>
      </c>
      <c r="E13" s="47">
        <f>0.4*30*10</f>
        <v>120</v>
      </c>
      <c r="F13" s="38"/>
      <c r="G13" s="62">
        <f aca="true" t="shared" si="0" ref="G13:G26">ROUND(E13*F13,2)</f>
        <v>0</v>
      </c>
    </row>
    <row r="14" spans="1:7" ht="15">
      <c r="A14" s="33"/>
      <c r="B14" s="40"/>
      <c r="C14" s="39" t="s">
        <v>111</v>
      </c>
      <c r="D14" s="40" t="s">
        <v>107</v>
      </c>
      <c r="E14" s="40">
        <f>E13*28</f>
        <v>3360</v>
      </c>
      <c r="F14" s="48"/>
      <c r="G14" s="62">
        <f t="shared" si="0"/>
        <v>0</v>
      </c>
    </row>
    <row r="15" spans="1:7" ht="15">
      <c r="A15" s="28"/>
      <c r="B15" s="45" t="s">
        <v>112</v>
      </c>
      <c r="C15" s="64" t="s">
        <v>113</v>
      </c>
      <c r="D15" s="44" t="s">
        <v>50</v>
      </c>
      <c r="E15" s="47">
        <f>30*10</f>
        <v>300</v>
      </c>
      <c r="F15" s="38"/>
      <c r="G15" s="61"/>
    </row>
    <row r="16" spans="1:7" ht="15">
      <c r="A16" s="28"/>
      <c r="B16" s="29" t="s">
        <v>79</v>
      </c>
      <c r="C16" s="30" t="s">
        <v>114</v>
      </c>
      <c r="D16" s="29" t="s">
        <v>32</v>
      </c>
      <c r="E16" s="40">
        <f>30*0.3*10</f>
        <v>90</v>
      </c>
      <c r="F16" s="48"/>
      <c r="G16" s="62">
        <f>ROUND(E15*F15,2)</f>
        <v>0</v>
      </c>
    </row>
    <row r="17" spans="1:7" ht="15">
      <c r="A17" s="28"/>
      <c r="B17" s="29"/>
      <c r="C17" s="30" t="s">
        <v>115</v>
      </c>
      <c r="D17" s="29" t="s">
        <v>107</v>
      </c>
      <c r="E17" s="40">
        <f>E16*38</f>
        <v>3420</v>
      </c>
      <c r="F17" s="48"/>
      <c r="G17" s="62">
        <f t="shared" si="0"/>
        <v>0</v>
      </c>
    </row>
    <row r="18" spans="1:7" ht="15">
      <c r="A18" s="28"/>
      <c r="B18" s="29" t="s">
        <v>83</v>
      </c>
      <c r="C18" s="30" t="s">
        <v>116</v>
      </c>
      <c r="D18" s="29" t="s">
        <v>32</v>
      </c>
      <c r="E18" s="40">
        <f>30*10*0.2</f>
        <v>60</v>
      </c>
      <c r="F18" s="38"/>
      <c r="G18" s="62">
        <f t="shared" si="0"/>
        <v>0</v>
      </c>
    </row>
    <row r="19" spans="1:7" ht="18">
      <c r="A19" s="28"/>
      <c r="B19" s="34"/>
      <c r="C19" s="51" t="s">
        <v>117</v>
      </c>
      <c r="D19" s="34" t="s">
        <v>54</v>
      </c>
      <c r="E19" s="42">
        <f>E18*38</f>
        <v>2280</v>
      </c>
      <c r="F19" s="38"/>
      <c r="G19" s="62">
        <f t="shared" si="0"/>
        <v>0</v>
      </c>
    </row>
    <row r="20" spans="1:7" ht="15">
      <c r="A20" s="51"/>
      <c r="B20" s="51" t="s">
        <v>55</v>
      </c>
      <c r="C20" s="51" t="s">
        <v>56</v>
      </c>
      <c r="D20" s="34" t="s">
        <v>50</v>
      </c>
      <c r="E20" s="50">
        <f>300*8</f>
        <v>2400</v>
      </c>
      <c r="F20" s="38"/>
      <c r="G20" s="62">
        <f t="shared" si="0"/>
        <v>0</v>
      </c>
    </row>
    <row r="21" spans="1:7" ht="15.75">
      <c r="A21" s="24" t="s">
        <v>89</v>
      </c>
      <c r="B21" s="65">
        <v>3</v>
      </c>
      <c r="C21" s="25" t="s">
        <v>118</v>
      </c>
      <c r="D21" s="34"/>
      <c r="E21" s="42"/>
      <c r="F21" s="38"/>
      <c r="G21" s="66">
        <f>SUM(G22:G26)</f>
        <v>0</v>
      </c>
    </row>
    <row r="22" spans="1:7" ht="15">
      <c r="A22" s="33"/>
      <c r="B22" s="50"/>
      <c r="C22" s="35" t="s">
        <v>119</v>
      </c>
      <c r="D22" s="50" t="s">
        <v>32</v>
      </c>
      <c r="E22" s="42">
        <v>34.74</v>
      </c>
      <c r="F22" s="38"/>
      <c r="G22" s="62">
        <f t="shared" si="0"/>
        <v>0</v>
      </c>
    </row>
    <row r="23" spans="1:7" ht="15">
      <c r="A23" s="28"/>
      <c r="B23" s="34"/>
      <c r="C23" s="67" t="s">
        <v>120</v>
      </c>
      <c r="D23" s="34" t="s">
        <v>32</v>
      </c>
      <c r="E23" s="42">
        <v>8.06</v>
      </c>
      <c r="F23" s="48"/>
      <c r="G23" s="62">
        <f t="shared" si="0"/>
        <v>0</v>
      </c>
    </row>
    <row r="24" spans="1:7" ht="18">
      <c r="A24" s="28"/>
      <c r="B24" s="34"/>
      <c r="C24" s="35" t="s">
        <v>121</v>
      </c>
      <c r="D24" s="34" t="s">
        <v>122</v>
      </c>
      <c r="E24" s="42">
        <v>32.54</v>
      </c>
      <c r="F24" s="38"/>
      <c r="G24" s="62">
        <f t="shared" si="0"/>
        <v>0</v>
      </c>
    </row>
    <row r="25" spans="1:7" ht="15">
      <c r="A25" s="28"/>
      <c r="B25" s="34"/>
      <c r="C25" s="39" t="s">
        <v>123</v>
      </c>
      <c r="D25" s="34" t="s">
        <v>32</v>
      </c>
      <c r="E25" s="42">
        <v>52.82</v>
      </c>
      <c r="F25" s="38"/>
      <c r="G25" s="62">
        <f t="shared" si="0"/>
        <v>0</v>
      </c>
    </row>
    <row r="26" spans="1:7" ht="15">
      <c r="A26" s="28"/>
      <c r="B26" s="34"/>
      <c r="C26" s="35" t="s">
        <v>124</v>
      </c>
      <c r="D26" s="50" t="s">
        <v>125</v>
      </c>
      <c r="E26" s="45">
        <v>12775.55</v>
      </c>
      <c r="F26" s="38"/>
      <c r="G26" s="32">
        <f t="shared" si="0"/>
        <v>0</v>
      </c>
    </row>
    <row r="27" spans="1:7" ht="15.75">
      <c r="A27" s="24" t="s">
        <v>98</v>
      </c>
      <c r="B27" s="25" t="s">
        <v>126</v>
      </c>
      <c r="C27" s="25" t="s">
        <v>127</v>
      </c>
      <c r="D27" s="25"/>
      <c r="E27" s="25"/>
      <c r="F27" s="26"/>
      <c r="G27" s="27">
        <f>SUM(G28:G32)</f>
        <v>0</v>
      </c>
    </row>
    <row r="28" spans="1:7" ht="15">
      <c r="A28" s="28"/>
      <c r="B28" s="45" t="s">
        <v>128</v>
      </c>
      <c r="C28" s="68" t="s">
        <v>129</v>
      </c>
      <c r="D28" s="47" t="s">
        <v>32</v>
      </c>
      <c r="E28" s="47">
        <v>400</v>
      </c>
      <c r="F28" s="38"/>
      <c r="G28" s="62">
        <f>ROUND(E28*F28,2)</f>
        <v>0</v>
      </c>
    </row>
    <row r="29" spans="1:7" ht="15">
      <c r="A29" s="33"/>
      <c r="B29" s="40"/>
      <c r="C29" s="39" t="s">
        <v>111</v>
      </c>
      <c r="D29" s="40" t="s">
        <v>107</v>
      </c>
      <c r="E29" s="40">
        <f>((0.6*0.6*1400*2)+(26.51*6))*28</f>
        <v>32677.68</v>
      </c>
      <c r="F29" s="48"/>
      <c r="G29" s="62">
        <f>ROUND(E29*F29,2)</f>
        <v>0</v>
      </c>
    </row>
    <row r="30" spans="1:7" ht="15">
      <c r="A30" s="33"/>
      <c r="B30" s="50" t="s">
        <v>130</v>
      </c>
      <c r="C30" s="35" t="s">
        <v>131</v>
      </c>
      <c r="D30" s="50" t="s">
        <v>32</v>
      </c>
      <c r="E30" s="47">
        <f>1*0.5*30*2</f>
        <v>30</v>
      </c>
      <c r="F30" s="38"/>
      <c r="G30" s="62">
        <f>ROUND(E30*F30,2)</f>
        <v>0</v>
      </c>
    </row>
    <row r="31" spans="1:7" ht="15">
      <c r="A31" s="28"/>
      <c r="B31" s="45"/>
      <c r="C31" s="46" t="s">
        <v>132</v>
      </c>
      <c r="D31" s="47" t="s">
        <v>107</v>
      </c>
      <c r="E31" s="47">
        <f>E30*38</f>
        <v>1140</v>
      </c>
      <c r="F31" s="48"/>
      <c r="G31" s="62">
        <f>ROUND(E31*F31,2)</f>
        <v>0</v>
      </c>
    </row>
    <row r="32" spans="1:7" ht="15.75" thickBot="1">
      <c r="A32" s="33"/>
      <c r="B32" s="42" t="s">
        <v>133</v>
      </c>
      <c r="C32" s="69" t="s">
        <v>134</v>
      </c>
      <c r="D32" s="47" t="s">
        <v>50</v>
      </c>
      <c r="E32" s="47">
        <f>4*40*2</f>
        <v>320</v>
      </c>
      <c r="F32" s="38"/>
      <c r="G32" s="62">
        <f>ROUND(E32*F32,2)</f>
        <v>0</v>
      </c>
    </row>
    <row r="33" spans="1:7" ht="16.5" thickBot="1">
      <c r="A33" s="54"/>
      <c r="B33" s="55"/>
      <c r="C33" s="70"/>
      <c r="D33" s="71"/>
      <c r="E33" s="129" t="s">
        <v>66</v>
      </c>
      <c r="F33" s="130"/>
      <c r="G33" s="57">
        <f>SUM(G8+G12+G27+G21)</f>
        <v>0</v>
      </c>
    </row>
    <row r="34" spans="3:7" ht="15">
      <c r="C34" s="61"/>
      <c r="D34" s="61"/>
      <c r="E34" s="61"/>
      <c r="F34" s="61"/>
      <c r="G34" s="61"/>
    </row>
    <row r="35" spans="3:7" ht="15">
      <c r="C35" s="61"/>
      <c r="D35" s="61"/>
      <c r="E35" s="61"/>
      <c r="F35" s="61"/>
      <c r="G35" s="61"/>
    </row>
    <row r="36" spans="3:7" ht="15">
      <c r="C36" s="61"/>
      <c r="D36" s="61"/>
      <c r="E36" s="61"/>
      <c r="F36" s="61"/>
      <c r="G36" s="61"/>
    </row>
  </sheetData>
  <sheetProtection/>
  <mergeCells count="4">
    <mergeCell ref="A3:G3"/>
    <mergeCell ref="A4:G4"/>
    <mergeCell ref="A6:G6"/>
    <mergeCell ref="E33:F33"/>
  </mergeCells>
  <printOptions/>
  <pageMargins left="0.7" right="0.7" top="0.75" bottom="0.75" header="0.3" footer="0.3"/>
  <pageSetup horizontalDpi="600" verticalDpi="600" orientation="portrait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P35"/>
  <sheetViews>
    <sheetView view="pageBreakPreview" zoomScale="60" zoomScaleNormal="70" zoomScalePageLayoutView="0" workbookViewId="0" topLeftCell="A1">
      <selection activeCell="E15" sqref="E15"/>
    </sheetView>
  </sheetViews>
  <sheetFormatPr defaultColWidth="11.421875" defaultRowHeight="15"/>
  <cols>
    <col min="1" max="1" width="10.28125" style="0" customWidth="1"/>
    <col min="2" max="2" width="14.421875" style="0" bestFit="1" customWidth="1"/>
    <col min="3" max="3" width="80.7109375" style="0" customWidth="1"/>
    <col min="5" max="5" width="16.28125" style="0" customWidth="1"/>
    <col min="6" max="6" width="17.28125" style="0" customWidth="1"/>
    <col min="7" max="7" width="22.140625" style="0" customWidth="1"/>
    <col min="14" max="14" width="15.00390625" style="0" bestFit="1" customWidth="1"/>
  </cols>
  <sheetData>
    <row r="2" ht="15.75" thickBot="1"/>
    <row r="3" spans="1:7" ht="16.5" customHeight="1" thickBot="1">
      <c r="A3" s="120" t="s">
        <v>13</v>
      </c>
      <c r="B3" s="121"/>
      <c r="C3" s="121"/>
      <c r="D3" s="121"/>
      <c r="E3" s="121"/>
      <c r="F3" s="121"/>
      <c r="G3" s="122"/>
    </row>
    <row r="4" spans="1:7" ht="16.5" customHeight="1" thickBot="1">
      <c r="A4" s="123" t="s">
        <v>135</v>
      </c>
      <c r="B4" s="124"/>
      <c r="C4" s="124"/>
      <c r="D4" s="124"/>
      <c r="E4" s="124"/>
      <c r="F4" s="124"/>
      <c r="G4" s="125"/>
    </row>
    <row r="5" spans="1:7" ht="17.25" thickBot="1">
      <c r="A5" s="16" t="s">
        <v>15</v>
      </c>
      <c r="B5" s="17" t="s">
        <v>136</v>
      </c>
      <c r="C5" s="18"/>
      <c r="D5" s="18"/>
      <c r="E5" s="18"/>
      <c r="F5" s="18"/>
      <c r="G5" s="19"/>
    </row>
    <row r="6" spans="1:7" ht="19.5" thickBot="1">
      <c r="A6" s="126" t="s">
        <v>17</v>
      </c>
      <c r="B6" s="127"/>
      <c r="C6" s="127"/>
      <c r="D6" s="127"/>
      <c r="E6" s="127"/>
      <c r="F6" s="127"/>
      <c r="G6" s="128"/>
    </row>
    <row r="7" spans="1:7" ht="31.5">
      <c r="A7" s="60" t="s">
        <v>18</v>
      </c>
      <c r="B7" s="21" t="s">
        <v>19</v>
      </c>
      <c r="C7" s="21" t="s">
        <v>20</v>
      </c>
      <c r="D7" s="21" t="s">
        <v>21</v>
      </c>
      <c r="E7" s="21" t="s">
        <v>22</v>
      </c>
      <c r="F7" s="22" t="s">
        <v>23</v>
      </c>
      <c r="G7" s="23" t="s">
        <v>24</v>
      </c>
    </row>
    <row r="8" spans="1:7" ht="15.75">
      <c r="A8" s="24" t="s">
        <v>25</v>
      </c>
      <c r="B8" s="25" t="s">
        <v>69</v>
      </c>
      <c r="C8" s="25" t="s">
        <v>70</v>
      </c>
      <c r="D8" s="25"/>
      <c r="E8" s="25"/>
      <c r="F8" s="26"/>
      <c r="G8" s="27">
        <f>SUM(G9:G11)</f>
        <v>0</v>
      </c>
    </row>
    <row r="9" spans="1:7" ht="15">
      <c r="A9" s="28"/>
      <c r="B9" s="29" t="s">
        <v>101</v>
      </c>
      <c r="C9" s="39" t="s">
        <v>102</v>
      </c>
      <c r="D9" s="40" t="s">
        <v>103</v>
      </c>
      <c r="E9" s="40">
        <v>0.05</v>
      </c>
      <c r="F9" s="38"/>
      <c r="G9" s="62">
        <f>ROUND(E9*F9,2)</f>
        <v>0</v>
      </c>
    </row>
    <row r="10" spans="1:7" ht="15">
      <c r="A10" s="33"/>
      <c r="B10" s="34" t="s">
        <v>104</v>
      </c>
      <c r="C10" s="35" t="s">
        <v>105</v>
      </c>
      <c r="D10" s="36" t="s">
        <v>32</v>
      </c>
      <c r="E10" s="37">
        <f>30*0.1*10</f>
        <v>30</v>
      </c>
      <c r="F10" s="38"/>
      <c r="G10" s="62">
        <f>ROUND(E10*F10,2)</f>
        <v>0</v>
      </c>
    </row>
    <row r="11" spans="1:7" ht="15">
      <c r="A11" s="28"/>
      <c r="B11" s="29"/>
      <c r="C11" s="39" t="s">
        <v>106</v>
      </c>
      <c r="D11" s="40" t="s">
        <v>107</v>
      </c>
      <c r="E11" s="40">
        <f>E10*28</f>
        <v>840</v>
      </c>
      <c r="F11" s="38"/>
      <c r="G11" s="62">
        <f>ROUND(E11*F11,2)</f>
        <v>0</v>
      </c>
    </row>
    <row r="12" spans="1:7" ht="15.75">
      <c r="A12" s="24" t="s">
        <v>36</v>
      </c>
      <c r="B12" s="25" t="s">
        <v>108</v>
      </c>
      <c r="C12" s="72" t="s">
        <v>109</v>
      </c>
      <c r="D12" s="72"/>
      <c r="E12" s="72"/>
      <c r="F12" s="73"/>
      <c r="G12" s="66">
        <f>SUM(G13:G20)</f>
        <v>0</v>
      </c>
    </row>
    <row r="13" spans="1:7" ht="15">
      <c r="A13" s="28"/>
      <c r="B13" s="45" t="s">
        <v>30</v>
      </c>
      <c r="C13" s="68" t="s">
        <v>110</v>
      </c>
      <c r="D13" s="47" t="s">
        <v>32</v>
      </c>
      <c r="E13" s="47">
        <f>0.4*30*10</f>
        <v>120</v>
      </c>
      <c r="F13" s="38"/>
      <c r="G13" s="62">
        <f aca="true" t="shared" si="0" ref="G13:G20">ROUND(E13*F13,2)</f>
        <v>0</v>
      </c>
    </row>
    <row r="14" spans="1:7" ht="15">
      <c r="A14" s="33"/>
      <c r="B14" s="40"/>
      <c r="C14" s="39" t="s">
        <v>111</v>
      </c>
      <c r="D14" s="40" t="s">
        <v>107</v>
      </c>
      <c r="E14" s="40">
        <f>E13*28</f>
        <v>3360</v>
      </c>
      <c r="F14" s="48"/>
      <c r="G14" s="62">
        <f t="shared" si="0"/>
        <v>0</v>
      </c>
    </row>
    <row r="15" spans="1:7" ht="15">
      <c r="A15" s="28"/>
      <c r="B15" s="45" t="s">
        <v>112</v>
      </c>
      <c r="C15" s="46" t="s">
        <v>113</v>
      </c>
      <c r="D15" s="47" t="s">
        <v>50</v>
      </c>
      <c r="E15" s="47">
        <f>30*10</f>
        <v>300</v>
      </c>
      <c r="F15" s="38"/>
      <c r="G15" s="62">
        <f t="shared" si="0"/>
        <v>0</v>
      </c>
    </row>
    <row r="16" spans="1:7" ht="15">
      <c r="A16" s="28"/>
      <c r="B16" s="29" t="s">
        <v>79</v>
      </c>
      <c r="C16" s="39" t="s">
        <v>114</v>
      </c>
      <c r="D16" s="40" t="s">
        <v>32</v>
      </c>
      <c r="E16" s="40">
        <f>30*0.3*10</f>
        <v>90</v>
      </c>
      <c r="F16" s="48"/>
      <c r="G16" s="62">
        <f t="shared" si="0"/>
        <v>0</v>
      </c>
    </row>
    <row r="17" spans="1:7" ht="15">
      <c r="A17" s="28"/>
      <c r="B17" s="29"/>
      <c r="C17" s="39" t="s">
        <v>115</v>
      </c>
      <c r="D17" s="40" t="s">
        <v>107</v>
      </c>
      <c r="E17" s="40">
        <f>E16*38</f>
        <v>3420</v>
      </c>
      <c r="F17" s="48"/>
      <c r="G17" s="62">
        <f t="shared" si="0"/>
        <v>0</v>
      </c>
    </row>
    <row r="18" spans="1:7" ht="15">
      <c r="A18" s="28"/>
      <c r="B18" s="29" t="s">
        <v>83</v>
      </c>
      <c r="C18" s="39" t="s">
        <v>116</v>
      </c>
      <c r="D18" s="40" t="s">
        <v>32</v>
      </c>
      <c r="E18" s="40">
        <f>30*10*0.2</f>
        <v>60</v>
      </c>
      <c r="F18" s="38"/>
      <c r="G18" s="62">
        <f t="shared" si="0"/>
        <v>0</v>
      </c>
    </row>
    <row r="19" spans="1:7" ht="18">
      <c r="A19" s="28"/>
      <c r="B19" s="34"/>
      <c r="C19" s="35" t="s">
        <v>117</v>
      </c>
      <c r="D19" s="50" t="s">
        <v>54</v>
      </c>
      <c r="E19" s="42">
        <f>E18*38</f>
        <v>2280</v>
      </c>
      <c r="F19" s="38"/>
      <c r="G19" s="62">
        <f t="shared" si="0"/>
        <v>0</v>
      </c>
    </row>
    <row r="20" spans="1:7" ht="15">
      <c r="A20" s="51"/>
      <c r="B20" s="51" t="s">
        <v>55</v>
      </c>
      <c r="C20" s="35" t="s">
        <v>56</v>
      </c>
      <c r="D20" s="50" t="s">
        <v>50</v>
      </c>
      <c r="E20" s="50">
        <f>200*8</f>
        <v>1600</v>
      </c>
      <c r="F20" s="38"/>
      <c r="G20" s="62">
        <f t="shared" si="0"/>
        <v>0</v>
      </c>
    </row>
    <row r="21" spans="1:7" ht="15.75">
      <c r="A21" s="24" t="s">
        <v>89</v>
      </c>
      <c r="B21" s="65">
        <v>3</v>
      </c>
      <c r="C21" s="72" t="s">
        <v>118</v>
      </c>
      <c r="D21" s="50"/>
      <c r="E21" s="42"/>
      <c r="F21" s="38"/>
      <c r="G21" s="66">
        <f>SUM(G22:G26)</f>
        <v>0</v>
      </c>
    </row>
    <row r="22" spans="1:16" ht="15">
      <c r="A22" s="33"/>
      <c r="B22" s="50"/>
      <c r="C22" s="35" t="s">
        <v>119</v>
      </c>
      <c r="D22" s="50" t="s">
        <v>32</v>
      </c>
      <c r="E22" s="42">
        <v>24.24</v>
      </c>
      <c r="F22" s="38"/>
      <c r="G22" s="62">
        <f>ROUND(E22*F22,2)</f>
        <v>0</v>
      </c>
      <c r="P22">
        <f>38.7-51.8</f>
        <v>-13.099999999999994</v>
      </c>
    </row>
    <row r="23" spans="1:7" ht="15">
      <c r="A23" s="28"/>
      <c r="B23" s="34"/>
      <c r="C23" s="67" t="s">
        <v>120</v>
      </c>
      <c r="D23" s="50" t="s">
        <v>32</v>
      </c>
      <c r="E23" s="42">
        <v>6.06</v>
      </c>
      <c r="F23" s="48"/>
      <c r="G23" s="62">
        <f>ROUND(E23*F23,2)</f>
        <v>0</v>
      </c>
    </row>
    <row r="24" spans="1:7" ht="18">
      <c r="A24" s="28"/>
      <c r="B24" s="34"/>
      <c r="C24" s="35" t="s">
        <v>121</v>
      </c>
      <c r="D24" s="50" t="s">
        <v>122</v>
      </c>
      <c r="E24" s="42">
        <v>22.54</v>
      </c>
      <c r="F24" s="38"/>
      <c r="G24" s="62">
        <f>ROUND(E24*F24,2)</f>
        <v>0</v>
      </c>
    </row>
    <row r="25" spans="1:7" ht="15">
      <c r="A25" s="28"/>
      <c r="B25" s="34"/>
      <c r="C25" s="39" t="s">
        <v>123</v>
      </c>
      <c r="D25" s="50" t="s">
        <v>32</v>
      </c>
      <c r="E25" s="42">
        <v>42.82</v>
      </c>
      <c r="F25" s="38"/>
      <c r="G25" s="62">
        <f>ROUND(E25*F25,2)</f>
        <v>0</v>
      </c>
    </row>
    <row r="26" spans="1:7" ht="15">
      <c r="A26" s="28"/>
      <c r="B26" s="34"/>
      <c r="C26" s="35" t="s">
        <v>124</v>
      </c>
      <c r="D26" s="50" t="s">
        <v>125</v>
      </c>
      <c r="E26" s="42">
        <v>11475.55</v>
      </c>
      <c r="F26" s="38"/>
      <c r="G26" s="62">
        <f>ROUND(E26*F26,2)</f>
        <v>0</v>
      </c>
    </row>
    <row r="27" spans="1:7" ht="15.75">
      <c r="A27" s="24" t="s">
        <v>98</v>
      </c>
      <c r="B27" s="25" t="s">
        <v>126</v>
      </c>
      <c r="C27" s="72" t="s">
        <v>127</v>
      </c>
      <c r="D27" s="72"/>
      <c r="E27" s="72"/>
      <c r="F27" s="73"/>
      <c r="G27" s="66">
        <f>SUM(G28:G32)</f>
        <v>0</v>
      </c>
    </row>
    <row r="28" spans="1:7" ht="15">
      <c r="A28" s="28"/>
      <c r="B28" s="45" t="s">
        <v>128</v>
      </c>
      <c r="C28" s="68" t="s">
        <v>129</v>
      </c>
      <c r="D28" s="47" t="s">
        <v>32</v>
      </c>
      <c r="E28" s="47">
        <v>400</v>
      </c>
      <c r="F28" s="38"/>
      <c r="G28" s="62">
        <f>ROUND(E28*F28,2)</f>
        <v>0</v>
      </c>
    </row>
    <row r="29" spans="1:7" ht="15">
      <c r="A29" s="33"/>
      <c r="B29" s="40"/>
      <c r="C29" s="39" t="s">
        <v>111</v>
      </c>
      <c r="D29" s="40" t="s">
        <v>107</v>
      </c>
      <c r="E29" s="40">
        <f>((0.6*0.6*1400*2)+(26.51*6))*28</f>
        <v>32677.68</v>
      </c>
      <c r="F29" s="48"/>
      <c r="G29" s="62">
        <f>ROUND(E29*F29,2)</f>
        <v>0</v>
      </c>
    </row>
    <row r="30" spans="1:7" ht="15">
      <c r="A30" s="33"/>
      <c r="B30" s="50" t="s">
        <v>130</v>
      </c>
      <c r="C30" s="35" t="s">
        <v>131</v>
      </c>
      <c r="D30" s="50" t="s">
        <v>32</v>
      </c>
      <c r="E30" s="47">
        <f>1*0.5*30*2</f>
        <v>30</v>
      </c>
      <c r="F30" s="38"/>
      <c r="G30" s="62">
        <f>ROUND(E30*F30,2)</f>
        <v>0</v>
      </c>
    </row>
    <row r="31" spans="1:7" ht="15">
      <c r="A31" s="28"/>
      <c r="B31" s="45"/>
      <c r="C31" s="46" t="s">
        <v>132</v>
      </c>
      <c r="D31" s="47" t="s">
        <v>107</v>
      </c>
      <c r="E31" s="47">
        <f>E30*38</f>
        <v>1140</v>
      </c>
      <c r="F31" s="48"/>
      <c r="G31" s="62">
        <f>ROUND(E31*F31,2)</f>
        <v>0</v>
      </c>
    </row>
    <row r="32" spans="1:7" ht="15.75" thickBot="1">
      <c r="A32" s="33"/>
      <c r="B32" s="42" t="s">
        <v>133</v>
      </c>
      <c r="C32" s="46" t="s">
        <v>137</v>
      </c>
      <c r="D32" s="47" t="s">
        <v>50</v>
      </c>
      <c r="E32" s="47">
        <v>320</v>
      </c>
      <c r="F32" s="38"/>
      <c r="G32" s="62">
        <f>ROUND(E32*F32,2)</f>
        <v>0</v>
      </c>
    </row>
    <row r="33" spans="1:7" ht="16.5" thickBot="1">
      <c r="A33" s="54"/>
      <c r="B33" s="55"/>
      <c r="C33" s="70"/>
      <c r="D33" s="71"/>
      <c r="E33" s="129" t="s">
        <v>66</v>
      </c>
      <c r="F33" s="130"/>
      <c r="G33" s="57">
        <f>SUM(G8+G12+G27+G21)</f>
        <v>0</v>
      </c>
    </row>
    <row r="34" spans="3:7" ht="15">
      <c r="C34" s="61"/>
      <c r="D34" s="61"/>
      <c r="E34" s="61"/>
      <c r="F34" s="61"/>
      <c r="G34" s="61"/>
    </row>
    <row r="35" spans="3:7" ht="15">
      <c r="C35" s="61"/>
      <c r="D35" s="61"/>
      <c r="E35" s="61"/>
      <c r="F35" s="61"/>
      <c r="G35" s="61"/>
    </row>
  </sheetData>
  <sheetProtection/>
  <mergeCells count="4">
    <mergeCell ref="A3:G3"/>
    <mergeCell ref="A4:G4"/>
    <mergeCell ref="A6:G6"/>
    <mergeCell ref="E33:F33"/>
  </mergeCells>
  <printOptions/>
  <pageMargins left="0.7" right="0.7" top="0.75" bottom="0.75" header="0.3" footer="0.3"/>
  <pageSetup horizontalDpi="600" verticalDpi="600" orientation="portrait" scale="48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3:H26"/>
  <sheetViews>
    <sheetView view="pageBreakPreview" zoomScale="60" zoomScaleNormal="80" zoomScalePageLayoutView="0" workbookViewId="0" topLeftCell="A4">
      <selection activeCell="E15" sqref="E15"/>
    </sheetView>
  </sheetViews>
  <sheetFormatPr defaultColWidth="11.421875" defaultRowHeight="15"/>
  <cols>
    <col min="1" max="1" width="10.28125" style="0" customWidth="1"/>
    <col min="2" max="2" width="14.421875" style="0" bestFit="1" customWidth="1"/>
    <col min="3" max="3" width="80.7109375" style="0" customWidth="1"/>
    <col min="4" max="4" width="13.8515625" style="0" customWidth="1"/>
    <col min="5" max="5" width="17.7109375" style="0" customWidth="1"/>
    <col min="6" max="6" width="17.28125" style="0" customWidth="1"/>
    <col min="7" max="7" width="22.140625" style="0" customWidth="1"/>
    <col min="14" max="14" width="15.00390625" style="0" bestFit="1" customWidth="1"/>
  </cols>
  <sheetData>
    <row r="2" ht="15.75" thickBot="1"/>
    <row r="3" spans="1:7" ht="16.5" customHeight="1" thickBot="1">
      <c r="A3" s="120" t="s">
        <v>13</v>
      </c>
      <c r="B3" s="121"/>
      <c r="C3" s="121"/>
      <c r="D3" s="121"/>
      <c r="E3" s="121"/>
      <c r="F3" s="121"/>
      <c r="G3" s="122"/>
    </row>
    <row r="4" spans="1:7" ht="16.5" customHeight="1" thickBot="1">
      <c r="A4" s="123" t="s">
        <v>138</v>
      </c>
      <c r="B4" s="124"/>
      <c r="C4" s="124"/>
      <c r="D4" s="124"/>
      <c r="E4" s="124"/>
      <c r="F4" s="124"/>
      <c r="G4" s="125"/>
    </row>
    <row r="5" spans="1:7" ht="17.25" thickBot="1">
      <c r="A5" s="16" t="s">
        <v>15</v>
      </c>
      <c r="B5" s="17" t="s">
        <v>139</v>
      </c>
      <c r="C5" s="18"/>
      <c r="D5" s="18"/>
      <c r="E5" s="18"/>
      <c r="F5" s="18"/>
      <c r="G5" s="19"/>
    </row>
    <row r="6" spans="1:7" ht="19.5" thickBot="1">
      <c r="A6" s="126" t="s">
        <v>17</v>
      </c>
      <c r="B6" s="127"/>
      <c r="C6" s="127"/>
      <c r="D6" s="127"/>
      <c r="E6" s="127"/>
      <c r="F6" s="127"/>
      <c r="G6" s="128"/>
    </row>
    <row r="7" spans="1:7" ht="31.5">
      <c r="A7" s="60" t="s">
        <v>18</v>
      </c>
      <c r="B7" s="21" t="s">
        <v>19</v>
      </c>
      <c r="C7" s="21" t="s">
        <v>20</v>
      </c>
      <c r="D7" s="21" t="s">
        <v>21</v>
      </c>
      <c r="E7" s="21" t="s">
        <v>22</v>
      </c>
      <c r="F7" s="22" t="s">
        <v>23</v>
      </c>
      <c r="G7" s="23" t="s">
        <v>24</v>
      </c>
    </row>
    <row r="8" spans="1:7" ht="15.75">
      <c r="A8" s="24" t="s">
        <v>25</v>
      </c>
      <c r="B8" s="25" t="s">
        <v>69</v>
      </c>
      <c r="C8" s="25" t="s">
        <v>70</v>
      </c>
      <c r="D8" s="25"/>
      <c r="E8" s="25"/>
      <c r="F8" s="26"/>
      <c r="G8" s="27">
        <f>SUM(G9:G11)</f>
        <v>0</v>
      </c>
    </row>
    <row r="9" spans="1:8" ht="15">
      <c r="A9" s="28"/>
      <c r="B9" s="29" t="s">
        <v>101</v>
      </c>
      <c r="C9" s="39" t="s">
        <v>102</v>
      </c>
      <c r="D9" s="40" t="s">
        <v>103</v>
      </c>
      <c r="E9" s="40">
        <v>0.05</v>
      </c>
      <c r="F9" s="38"/>
      <c r="G9" s="62">
        <f>ROUND(E9*F9,2)</f>
        <v>0</v>
      </c>
      <c r="H9" s="61"/>
    </row>
    <row r="10" spans="1:8" ht="15">
      <c r="A10" s="33"/>
      <c r="B10" s="34" t="s">
        <v>104</v>
      </c>
      <c r="C10" s="35" t="s">
        <v>105</v>
      </c>
      <c r="D10" s="36" t="s">
        <v>32</v>
      </c>
      <c r="E10" s="37">
        <f>30*0.1*10</f>
        <v>30</v>
      </c>
      <c r="F10" s="38"/>
      <c r="G10" s="62">
        <f>ROUND(E10*F10,2)</f>
        <v>0</v>
      </c>
      <c r="H10" s="61"/>
    </row>
    <row r="11" spans="1:8" ht="15">
      <c r="A11" s="28"/>
      <c r="B11" s="29"/>
      <c r="C11" s="39" t="s">
        <v>106</v>
      </c>
      <c r="D11" s="40" t="s">
        <v>107</v>
      </c>
      <c r="E11" s="40">
        <f>E10*28</f>
        <v>840</v>
      </c>
      <c r="F11" s="38"/>
      <c r="G11" s="62">
        <f>ROUND(E11*F11,2)</f>
        <v>0</v>
      </c>
      <c r="H11" s="61"/>
    </row>
    <row r="12" spans="1:8" ht="15.75">
      <c r="A12" s="24" t="s">
        <v>36</v>
      </c>
      <c r="B12" s="25" t="s">
        <v>108</v>
      </c>
      <c r="C12" s="72" t="s">
        <v>109</v>
      </c>
      <c r="D12" s="72"/>
      <c r="E12" s="72"/>
      <c r="F12" s="73"/>
      <c r="G12" s="66">
        <f>SUM(G13:G18)</f>
        <v>0</v>
      </c>
      <c r="H12" s="61"/>
    </row>
    <row r="13" spans="1:8" ht="15">
      <c r="A13" s="28"/>
      <c r="B13" s="45" t="s">
        <v>112</v>
      </c>
      <c r="C13" s="46" t="s">
        <v>113</v>
      </c>
      <c r="D13" s="47" t="s">
        <v>50</v>
      </c>
      <c r="E13" s="47">
        <f>40*4</f>
        <v>160</v>
      </c>
      <c r="F13" s="38"/>
      <c r="G13" s="62">
        <f aca="true" t="shared" si="0" ref="G13:G18">ROUND(E13*F13,2)</f>
        <v>0</v>
      </c>
      <c r="H13" s="61"/>
    </row>
    <row r="14" spans="1:8" ht="15">
      <c r="A14" s="28"/>
      <c r="B14" s="29" t="s">
        <v>79</v>
      </c>
      <c r="C14" s="39" t="s">
        <v>114</v>
      </c>
      <c r="D14" s="40" t="s">
        <v>32</v>
      </c>
      <c r="E14" s="40">
        <f>50*0.3*10</f>
        <v>150</v>
      </c>
      <c r="F14" s="48"/>
      <c r="G14" s="62">
        <f t="shared" si="0"/>
        <v>0</v>
      </c>
      <c r="H14" s="61"/>
    </row>
    <row r="15" spans="1:8" ht="15">
      <c r="A15" s="28"/>
      <c r="B15" s="29"/>
      <c r="C15" s="39" t="s">
        <v>115</v>
      </c>
      <c r="D15" s="40" t="s">
        <v>107</v>
      </c>
      <c r="E15" s="40">
        <f>E14*38</f>
        <v>5700</v>
      </c>
      <c r="F15" s="48"/>
      <c r="G15" s="62">
        <f t="shared" si="0"/>
        <v>0</v>
      </c>
      <c r="H15" s="61"/>
    </row>
    <row r="16" spans="1:8" ht="15">
      <c r="A16" s="28"/>
      <c r="B16" s="29" t="s">
        <v>83</v>
      </c>
      <c r="C16" s="39" t="s">
        <v>116</v>
      </c>
      <c r="D16" s="40" t="s">
        <v>32</v>
      </c>
      <c r="E16" s="40">
        <f>50*10*0.2</f>
        <v>100</v>
      </c>
      <c r="F16" s="38"/>
      <c r="G16" s="62">
        <f t="shared" si="0"/>
        <v>0</v>
      </c>
      <c r="H16" s="61"/>
    </row>
    <row r="17" spans="1:8" ht="18">
      <c r="A17" s="28"/>
      <c r="B17" s="34"/>
      <c r="C17" s="35" t="s">
        <v>117</v>
      </c>
      <c r="D17" s="50" t="s">
        <v>54</v>
      </c>
      <c r="E17" s="42">
        <f>E16*38</f>
        <v>3800</v>
      </c>
      <c r="F17" s="38"/>
      <c r="G17" s="62">
        <f t="shared" si="0"/>
        <v>0</v>
      </c>
      <c r="H17" s="61"/>
    </row>
    <row r="18" spans="1:8" ht="15">
      <c r="A18" s="51"/>
      <c r="B18" s="51" t="s">
        <v>55</v>
      </c>
      <c r="C18" s="35" t="s">
        <v>56</v>
      </c>
      <c r="D18" s="50" t="s">
        <v>50</v>
      </c>
      <c r="E18" s="50">
        <f>200*4</f>
        <v>800</v>
      </c>
      <c r="F18" s="38"/>
      <c r="G18" s="62">
        <f t="shared" si="0"/>
        <v>0</v>
      </c>
      <c r="H18" s="61"/>
    </row>
    <row r="19" spans="1:8" ht="15.75">
      <c r="A19" s="24" t="s">
        <v>98</v>
      </c>
      <c r="B19" s="25" t="s">
        <v>126</v>
      </c>
      <c r="C19" s="72" t="s">
        <v>127</v>
      </c>
      <c r="D19" s="72"/>
      <c r="E19" s="72"/>
      <c r="F19" s="73"/>
      <c r="G19" s="66">
        <f>SUM(G20:G25)</f>
        <v>0</v>
      </c>
      <c r="H19" s="61"/>
    </row>
    <row r="20" spans="1:8" ht="15.75">
      <c r="A20" s="24"/>
      <c r="B20" s="25" t="s">
        <v>140</v>
      </c>
      <c r="C20" s="74" t="s">
        <v>141</v>
      </c>
      <c r="D20" s="75" t="s">
        <v>32</v>
      </c>
      <c r="E20" s="76">
        <v>3000</v>
      </c>
      <c r="F20" s="77"/>
      <c r="G20" s="62">
        <f aca="true" t="shared" si="1" ref="G20:G25">ROUND(E20*F20,2)</f>
        <v>0</v>
      </c>
      <c r="H20" s="61"/>
    </row>
    <row r="21" spans="1:8" ht="15">
      <c r="A21" s="28"/>
      <c r="B21" s="45" t="s">
        <v>128</v>
      </c>
      <c r="C21" s="68" t="s">
        <v>129</v>
      </c>
      <c r="D21" s="47" t="s">
        <v>32</v>
      </c>
      <c r="E21" s="47">
        <v>400</v>
      </c>
      <c r="F21" s="38"/>
      <c r="G21" s="62">
        <f t="shared" si="1"/>
        <v>0</v>
      </c>
      <c r="H21" s="61"/>
    </row>
    <row r="22" spans="1:8" ht="15">
      <c r="A22" s="33"/>
      <c r="B22" s="40"/>
      <c r="C22" s="39" t="s">
        <v>111</v>
      </c>
      <c r="D22" s="40" t="s">
        <v>107</v>
      </c>
      <c r="E22" s="40">
        <v>400</v>
      </c>
      <c r="F22" s="48"/>
      <c r="G22" s="62">
        <f t="shared" si="1"/>
        <v>0</v>
      </c>
      <c r="H22" s="61"/>
    </row>
    <row r="23" spans="1:8" ht="15">
      <c r="A23" s="33"/>
      <c r="B23" s="50" t="s">
        <v>130</v>
      </c>
      <c r="C23" s="35" t="s">
        <v>131</v>
      </c>
      <c r="D23" s="50" t="s">
        <v>32</v>
      </c>
      <c r="E23" s="47">
        <f>1*0.5*30*2</f>
        <v>30</v>
      </c>
      <c r="F23" s="38"/>
      <c r="G23" s="62">
        <f t="shared" si="1"/>
        <v>0</v>
      </c>
      <c r="H23" s="61"/>
    </row>
    <row r="24" spans="1:8" ht="15">
      <c r="A24" s="28"/>
      <c r="B24" s="45"/>
      <c r="C24" s="46" t="s">
        <v>132</v>
      </c>
      <c r="D24" s="47" t="s">
        <v>107</v>
      </c>
      <c r="E24" s="47">
        <f>E23*38</f>
        <v>1140</v>
      </c>
      <c r="F24" s="48"/>
      <c r="G24" s="62">
        <f t="shared" si="1"/>
        <v>0</v>
      </c>
      <c r="H24" s="61"/>
    </row>
    <row r="25" spans="1:8" ht="15.75" thickBot="1">
      <c r="A25" s="33"/>
      <c r="B25" s="42" t="s">
        <v>133</v>
      </c>
      <c r="C25" s="46" t="s">
        <v>137</v>
      </c>
      <c r="D25" s="47" t="s">
        <v>50</v>
      </c>
      <c r="E25" s="47">
        <v>320</v>
      </c>
      <c r="F25" s="38"/>
      <c r="G25" s="62">
        <f t="shared" si="1"/>
        <v>0</v>
      </c>
      <c r="H25" s="61"/>
    </row>
    <row r="26" spans="1:8" ht="16.5" thickBot="1">
      <c r="A26" s="54"/>
      <c r="B26" s="55"/>
      <c r="C26" s="70"/>
      <c r="D26" s="71"/>
      <c r="E26" s="129" t="s">
        <v>66</v>
      </c>
      <c r="F26" s="130"/>
      <c r="G26" s="57">
        <f>SUM(G8+G12+G19)</f>
        <v>0</v>
      </c>
      <c r="H26" s="61"/>
    </row>
  </sheetData>
  <sheetProtection/>
  <mergeCells count="4">
    <mergeCell ref="A3:G3"/>
    <mergeCell ref="A4:G4"/>
    <mergeCell ref="A6:G6"/>
    <mergeCell ref="E26:F26"/>
  </mergeCells>
  <printOptions/>
  <pageMargins left="0.7" right="0.7" top="0.75" bottom="0.75" header="0.3" footer="0.3"/>
  <pageSetup horizontalDpi="600" verticalDpi="600" orientation="portrait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view="pageBreakPreview" zoomScaleNormal="110" zoomScaleSheetLayoutView="100" zoomScalePageLayoutView="0" workbookViewId="0" topLeftCell="A1">
      <selection activeCell="E15" sqref="E15"/>
    </sheetView>
  </sheetViews>
  <sheetFormatPr defaultColWidth="8.8515625" defaultRowHeight="15"/>
  <cols>
    <col min="1" max="1" width="2.421875" style="78" customWidth="1"/>
    <col min="2" max="2" width="10.421875" style="78" customWidth="1"/>
    <col min="3" max="3" width="45.28125" style="78" customWidth="1"/>
    <col min="4" max="4" width="8.7109375" style="78" customWidth="1"/>
    <col min="5" max="16384" width="8.8515625" style="78" customWidth="1"/>
  </cols>
  <sheetData>
    <row r="1" spans="2:7" ht="11.25">
      <c r="B1" s="131" t="s">
        <v>0</v>
      </c>
      <c r="C1" s="131"/>
      <c r="D1" s="131"/>
      <c r="E1" s="131"/>
      <c r="F1" s="131"/>
      <c r="G1" s="131"/>
    </row>
    <row r="2" spans="2:7" ht="11.25">
      <c r="B2" s="132" t="str">
        <f>+'[1]16'!B2:G2</f>
        <v>SUBSECRETARÍA ZONAL DE NAPO Y SUCUMBÍOS</v>
      </c>
      <c r="C2" s="132"/>
      <c r="D2" s="132"/>
      <c r="E2" s="132"/>
      <c r="F2" s="132"/>
      <c r="G2" s="132"/>
    </row>
    <row r="3" spans="2:7" ht="11.25">
      <c r="B3" s="133" t="s">
        <v>142</v>
      </c>
      <c r="C3" s="133"/>
      <c r="D3" s="133"/>
      <c r="E3" s="133"/>
      <c r="F3" s="133"/>
      <c r="G3" s="133"/>
    </row>
    <row r="4" spans="2:7" ht="11.25">
      <c r="B4" s="79" t="s">
        <v>143</v>
      </c>
      <c r="C4" s="134" t="str">
        <f>+'[1]17'!C4:G4</f>
        <v>Carretera "Y" de Baeza-Reventador-Lumbaquí</v>
      </c>
      <c r="D4" s="134"/>
      <c r="E4" s="134"/>
      <c r="F4" s="134"/>
      <c r="G4" s="134"/>
    </row>
    <row r="5" spans="2:7" ht="11.25">
      <c r="B5" s="79" t="s">
        <v>144</v>
      </c>
      <c r="C5" s="80" t="str">
        <f>+C4</f>
        <v>Carretera "Y" de Baeza-Reventador-Lumbaquí</v>
      </c>
      <c r="D5" s="80"/>
      <c r="E5" s="80"/>
      <c r="F5" s="80"/>
      <c r="G5" s="80"/>
    </row>
    <row r="6" spans="2:7" ht="12.75" customHeight="1">
      <c r="B6" s="79" t="s">
        <v>145</v>
      </c>
      <c r="C6" s="135" t="s">
        <v>146</v>
      </c>
      <c r="D6" s="135"/>
      <c r="E6" s="135"/>
      <c r="F6" s="135"/>
      <c r="G6" s="135"/>
    </row>
    <row r="7" spans="2:7" ht="9" customHeight="1">
      <c r="B7" s="79" t="s">
        <v>147</v>
      </c>
      <c r="C7" s="81">
        <v>80</v>
      </c>
      <c r="D7" s="80" t="s">
        <v>148</v>
      </c>
      <c r="E7" s="82">
        <v>3</v>
      </c>
      <c r="F7" s="80"/>
      <c r="G7" s="83"/>
    </row>
    <row r="8" spans="2:7" ht="12" customHeight="1">
      <c r="B8" s="79"/>
      <c r="C8" s="80"/>
      <c r="D8" s="80" t="s">
        <v>149</v>
      </c>
      <c r="E8" s="80">
        <v>80</v>
      </c>
      <c r="F8" s="80"/>
      <c r="G8" s="83"/>
    </row>
    <row r="9" spans="2:7" ht="11.25">
      <c r="B9" s="79" t="s">
        <v>150</v>
      </c>
      <c r="C9" s="80" t="s">
        <v>151</v>
      </c>
      <c r="D9" s="80"/>
      <c r="E9" s="80"/>
      <c r="F9" s="80"/>
      <c r="G9" s="83"/>
    </row>
    <row r="10" spans="2:7" ht="11.25">
      <c r="B10" s="79" t="s">
        <v>152</v>
      </c>
      <c r="C10" s="84">
        <v>220771.5571</v>
      </c>
      <c r="D10" s="80"/>
      <c r="E10" s="80"/>
      <c r="F10" s="80"/>
      <c r="G10" s="83"/>
    </row>
    <row r="11" spans="2:7" ht="11.25">
      <c r="B11" s="79"/>
      <c r="C11" s="84">
        <v>9996972.6568</v>
      </c>
      <c r="D11" s="80"/>
      <c r="E11" s="80"/>
      <c r="F11" s="80"/>
      <c r="G11" s="83"/>
    </row>
    <row r="13" spans="2:4" ht="11.25">
      <c r="B13" s="131" t="s">
        <v>153</v>
      </c>
      <c r="C13" s="131"/>
      <c r="D13" s="131"/>
    </row>
    <row r="15" spans="1:7" ht="11.25">
      <c r="A15" s="85" t="s">
        <v>18</v>
      </c>
      <c r="B15" s="86" t="s">
        <v>154</v>
      </c>
      <c r="C15" s="87" t="s">
        <v>155</v>
      </c>
      <c r="D15" s="88" t="s">
        <v>21</v>
      </c>
      <c r="E15" s="88" t="s">
        <v>22</v>
      </c>
      <c r="F15" s="88" t="s">
        <v>156</v>
      </c>
      <c r="G15" s="88" t="s">
        <v>157</v>
      </c>
    </row>
    <row r="16" spans="1:7" ht="11.25">
      <c r="A16" s="89"/>
      <c r="B16" s="90"/>
      <c r="C16" s="91" t="str">
        <f>+C4</f>
        <v>Carretera "Y" de Baeza-Reventador-Lumbaquí</v>
      </c>
      <c r="D16" s="92"/>
      <c r="E16" s="93"/>
      <c r="F16" s="93"/>
      <c r="G16" s="93"/>
    </row>
    <row r="17" spans="1:7" ht="11.25">
      <c r="A17" s="89"/>
      <c r="B17" s="94"/>
      <c r="C17" s="91" t="str">
        <f>+C6</f>
        <v>Abscisa 86+000 - 86+200. </v>
      </c>
      <c r="D17" s="92"/>
      <c r="E17" s="93"/>
      <c r="F17" s="93"/>
      <c r="G17" s="93"/>
    </row>
    <row r="18" spans="1:7" ht="11.25">
      <c r="A18" s="89"/>
      <c r="B18" s="94"/>
      <c r="C18" s="95" t="s">
        <v>26</v>
      </c>
      <c r="D18" s="96"/>
      <c r="E18" s="97"/>
      <c r="F18" s="97"/>
      <c r="G18" s="97"/>
    </row>
    <row r="19" spans="1:7" ht="11.25">
      <c r="A19" s="98">
        <v>1</v>
      </c>
      <c r="B19" s="99" t="s">
        <v>101</v>
      </c>
      <c r="C19" s="100" t="s">
        <v>28</v>
      </c>
      <c r="D19" s="101" t="s">
        <v>29</v>
      </c>
      <c r="E19" s="102">
        <f>+ROUNDUP(('[1]DATOS'!F7*C7/10000),2)</f>
        <v>0.03</v>
      </c>
      <c r="F19" s="102"/>
      <c r="G19" s="102">
        <f>+E19*F19</f>
        <v>0</v>
      </c>
    </row>
    <row r="20" spans="1:7" ht="11.25">
      <c r="A20" s="98">
        <f>+A19+1</f>
        <v>2</v>
      </c>
      <c r="B20" s="99" t="s">
        <v>73</v>
      </c>
      <c r="C20" s="100" t="s">
        <v>158</v>
      </c>
      <c r="D20" s="101" t="s">
        <v>32</v>
      </c>
      <c r="E20" s="102">
        <f>0.16*C7</f>
        <v>12.8</v>
      </c>
      <c r="F20" s="102"/>
      <c r="G20" s="102">
        <f>+E20*F20</f>
        <v>0</v>
      </c>
    </row>
    <row r="21" spans="1:7" ht="11.25">
      <c r="A21" s="98">
        <f>+A20+1</f>
        <v>3</v>
      </c>
      <c r="B21" s="99" t="s">
        <v>159</v>
      </c>
      <c r="C21" s="100" t="s">
        <v>160</v>
      </c>
      <c r="D21" s="101" t="s">
        <v>32</v>
      </c>
      <c r="E21" s="102">
        <f>+('[1]DATOS'!F7*E7*C7)+(E7*E7*0.5*C7)</f>
        <v>1080</v>
      </c>
      <c r="F21" s="102"/>
      <c r="G21" s="102">
        <f>+E21*F21</f>
        <v>0</v>
      </c>
    </row>
    <row r="22" spans="1:7" ht="11.25">
      <c r="A22" s="103"/>
      <c r="B22" s="99"/>
      <c r="C22" s="95" t="s">
        <v>161</v>
      </c>
      <c r="D22" s="96"/>
      <c r="E22" s="97"/>
      <c r="F22" s="97"/>
      <c r="G22" s="97"/>
    </row>
    <row r="23" spans="1:7" ht="11.25">
      <c r="A23" s="98">
        <f>1+A21</f>
        <v>4</v>
      </c>
      <c r="B23" s="99" t="s">
        <v>162</v>
      </c>
      <c r="C23" s="100" t="s">
        <v>163</v>
      </c>
      <c r="D23" s="101" t="s">
        <v>32</v>
      </c>
      <c r="E23" s="102">
        <f>+(C7+1)*1*('[1]DATOS'!F7+1)</f>
        <v>324</v>
      </c>
      <c r="F23" s="102"/>
      <c r="G23" s="102">
        <f aca="true" t="shared" si="0" ref="G23:G28">+E23*F23</f>
        <v>0</v>
      </c>
    </row>
    <row r="24" spans="1:7" ht="11.25">
      <c r="A24" s="98">
        <f>+A23+1</f>
        <v>5</v>
      </c>
      <c r="B24" s="99" t="s">
        <v>164</v>
      </c>
      <c r="C24" s="100" t="s">
        <v>78</v>
      </c>
      <c r="D24" s="101" t="s">
        <v>50</v>
      </c>
      <c r="E24" s="102">
        <f>+(E7+'[1]DATOS'!F4+0.3)*C7</f>
        <v>364</v>
      </c>
      <c r="F24" s="102"/>
      <c r="G24" s="102">
        <f t="shared" si="0"/>
        <v>0</v>
      </c>
    </row>
    <row r="25" spans="1:7" ht="22.5">
      <c r="A25" s="98">
        <f>+A24+1</f>
        <v>6</v>
      </c>
      <c r="B25" s="99" t="s">
        <v>165</v>
      </c>
      <c r="C25" s="100" t="s">
        <v>166</v>
      </c>
      <c r="D25" s="101" t="s">
        <v>32</v>
      </c>
      <c r="E25" s="102">
        <f>C7*0.1*'[1]DATOS'!F7</f>
        <v>24</v>
      </c>
      <c r="F25" s="102"/>
      <c r="G25" s="102">
        <f t="shared" si="0"/>
        <v>0</v>
      </c>
    </row>
    <row r="26" spans="1:7" ht="22.5">
      <c r="A26" s="98">
        <f>+A25+1</f>
        <v>7</v>
      </c>
      <c r="B26" s="99" t="s">
        <v>167</v>
      </c>
      <c r="C26" s="100" t="s">
        <v>168</v>
      </c>
      <c r="D26" s="101" t="s">
        <v>32</v>
      </c>
      <c r="E26" s="102">
        <f>+C7*'[1]DATOS'!F3</f>
        <v>260</v>
      </c>
      <c r="F26" s="102"/>
      <c r="G26" s="102">
        <f t="shared" si="0"/>
        <v>0</v>
      </c>
    </row>
    <row r="27" spans="1:7" ht="11.25">
      <c r="A27" s="98">
        <f>+A26+1</f>
        <v>8</v>
      </c>
      <c r="B27" s="99" t="s">
        <v>164</v>
      </c>
      <c r="C27" s="104" t="s">
        <v>169</v>
      </c>
      <c r="D27" s="101" t="s">
        <v>125</v>
      </c>
      <c r="E27" s="102">
        <f>+'[1]DATOS'!F2*C7</f>
        <v>16621.600000000002</v>
      </c>
      <c r="F27" s="102"/>
      <c r="G27" s="102">
        <f t="shared" si="0"/>
        <v>0</v>
      </c>
    </row>
    <row r="28" spans="1:7" ht="22.5">
      <c r="A28" s="98">
        <f>+A27+1</f>
        <v>9</v>
      </c>
      <c r="B28" s="99" t="s">
        <v>170</v>
      </c>
      <c r="C28" s="100" t="s">
        <v>171</v>
      </c>
      <c r="D28" s="101" t="s">
        <v>32</v>
      </c>
      <c r="E28" s="102">
        <f>0.16*C7</f>
        <v>12.8</v>
      </c>
      <c r="F28" s="102"/>
      <c r="G28" s="102">
        <f t="shared" si="0"/>
        <v>0</v>
      </c>
    </row>
    <row r="29" spans="1:7" ht="11.25">
      <c r="A29" s="103"/>
      <c r="B29" s="99"/>
      <c r="C29" s="95" t="s">
        <v>172</v>
      </c>
      <c r="D29" s="96"/>
      <c r="E29" s="97"/>
      <c r="F29" s="97"/>
      <c r="G29" s="97"/>
    </row>
    <row r="30" spans="1:7" ht="11.25">
      <c r="A30" s="98">
        <f>+A28+1</f>
        <v>10</v>
      </c>
      <c r="B30" s="99" t="s">
        <v>173</v>
      </c>
      <c r="C30" s="100" t="s">
        <v>174</v>
      </c>
      <c r="D30" s="101" t="s">
        <v>50</v>
      </c>
      <c r="E30" s="102">
        <f>+C7*1</f>
        <v>80</v>
      </c>
      <c r="F30" s="102"/>
      <c r="G30" s="102">
        <f>+E30*F30</f>
        <v>0</v>
      </c>
    </row>
    <row r="31" spans="1:7" ht="11.25">
      <c r="A31" s="98">
        <f>1+A30</f>
        <v>11</v>
      </c>
      <c r="B31" s="99" t="s">
        <v>175</v>
      </c>
      <c r="C31" s="100" t="s">
        <v>176</v>
      </c>
      <c r="D31" s="101" t="s">
        <v>32</v>
      </c>
      <c r="E31" s="102">
        <f>0.3*E30</f>
        <v>24</v>
      </c>
      <c r="F31" s="102"/>
      <c r="G31" s="102">
        <f>+E31*F31</f>
        <v>0</v>
      </c>
    </row>
    <row r="32" spans="1:10" ht="22.5">
      <c r="A32" s="98">
        <f>1+A31</f>
        <v>12</v>
      </c>
      <c r="B32" s="99" t="s">
        <v>177</v>
      </c>
      <c r="C32" s="100" t="s">
        <v>178</v>
      </c>
      <c r="D32" s="101" t="s">
        <v>107</v>
      </c>
      <c r="E32" s="102">
        <f>+E31*E8</f>
        <v>1920</v>
      </c>
      <c r="F32" s="102"/>
      <c r="G32" s="102">
        <f>+E32*F32</f>
        <v>0</v>
      </c>
      <c r="J32" s="105"/>
    </row>
    <row r="33" spans="1:7" ht="11.25">
      <c r="A33" s="98">
        <f>1+A32</f>
        <v>13</v>
      </c>
      <c r="B33" s="99" t="s">
        <v>83</v>
      </c>
      <c r="C33" s="100" t="s">
        <v>179</v>
      </c>
      <c r="D33" s="101" t="s">
        <v>32</v>
      </c>
      <c r="E33" s="102">
        <f>+E30*0.2</f>
        <v>16</v>
      </c>
      <c r="F33" s="102"/>
      <c r="G33" s="102">
        <f>+E33*F33</f>
        <v>0</v>
      </c>
    </row>
    <row r="34" spans="1:7" ht="22.5">
      <c r="A34" s="98">
        <f>1+A33</f>
        <v>14</v>
      </c>
      <c r="B34" s="99" t="s">
        <v>177</v>
      </c>
      <c r="C34" s="100" t="s">
        <v>180</v>
      </c>
      <c r="D34" s="101" t="s">
        <v>107</v>
      </c>
      <c r="E34" s="102">
        <f>+E33*E8</f>
        <v>1280</v>
      </c>
      <c r="F34" s="102"/>
      <c r="G34" s="102">
        <f>+E34*F34</f>
        <v>0</v>
      </c>
    </row>
    <row r="35" spans="1:7" ht="11.25">
      <c r="A35" s="98">
        <f>1+A34</f>
        <v>15</v>
      </c>
      <c r="B35" s="90"/>
      <c r="C35" s="106"/>
      <c r="D35" s="107" t="s">
        <v>181</v>
      </c>
      <c r="E35" s="107"/>
      <c r="F35" s="107"/>
      <c r="G35" s="97">
        <f>+SUM(G16:G34)</f>
        <v>0</v>
      </c>
    </row>
    <row r="36" spans="1:7" ht="11.25">
      <c r="A36" s="98"/>
      <c r="C36" s="108"/>
      <c r="D36" s="108"/>
      <c r="E36" s="108"/>
      <c r="F36" s="108"/>
      <c r="G36" s="108"/>
    </row>
    <row r="37" spans="1:3" ht="11.25">
      <c r="A37" s="98"/>
      <c r="B37" s="109"/>
      <c r="C37" s="110"/>
    </row>
    <row r="38" ht="11.25">
      <c r="B38" s="110"/>
    </row>
  </sheetData>
  <sheetProtection/>
  <mergeCells count="6">
    <mergeCell ref="B1:G1"/>
    <mergeCell ref="B2:G2"/>
    <mergeCell ref="B3:G3"/>
    <mergeCell ref="C4:G4"/>
    <mergeCell ref="C6:G6"/>
    <mergeCell ref="B13:D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view="pageBreakPreview" zoomScaleNormal="77" zoomScaleSheetLayoutView="100" zoomScalePageLayoutView="0" workbookViewId="0" topLeftCell="A1">
      <selection activeCell="E15" sqref="E15"/>
    </sheetView>
  </sheetViews>
  <sheetFormatPr defaultColWidth="8.8515625" defaultRowHeight="15"/>
  <cols>
    <col min="1" max="1" width="2.421875" style="78" customWidth="1"/>
    <col min="2" max="2" width="10.421875" style="78" customWidth="1"/>
    <col min="3" max="3" width="45.28125" style="78" customWidth="1"/>
    <col min="4" max="4" width="8.7109375" style="78" customWidth="1"/>
    <col min="5" max="16384" width="8.8515625" style="78" customWidth="1"/>
  </cols>
  <sheetData>
    <row r="1" spans="2:7" ht="11.25">
      <c r="B1" s="131" t="s">
        <v>0</v>
      </c>
      <c r="C1" s="131"/>
      <c r="D1" s="131"/>
      <c r="E1" s="131"/>
      <c r="F1" s="131"/>
      <c r="G1" s="131"/>
    </row>
    <row r="2" spans="2:7" ht="11.25">
      <c r="B2" s="132" t="str">
        <f>+'[1]16'!B2:G2</f>
        <v>SUBSECRETARÍA ZONAL DE NAPO Y SUCUMBÍOS</v>
      </c>
      <c r="C2" s="132"/>
      <c r="D2" s="132"/>
      <c r="E2" s="132"/>
      <c r="F2" s="132"/>
      <c r="G2" s="132"/>
    </row>
    <row r="3" spans="2:7" ht="11.25">
      <c r="B3" s="133" t="s">
        <v>142</v>
      </c>
      <c r="C3" s="133"/>
      <c r="D3" s="133"/>
      <c r="E3" s="133"/>
      <c r="F3" s="133"/>
      <c r="G3" s="133"/>
    </row>
    <row r="4" spans="2:7" ht="11.25">
      <c r="B4" s="79" t="s">
        <v>143</v>
      </c>
      <c r="C4" s="134" t="str">
        <f>+'[1]17'!C4:G4</f>
        <v>Carretera "Y" de Baeza-Reventador-Lumbaquí</v>
      </c>
      <c r="D4" s="134"/>
      <c r="E4" s="134"/>
      <c r="F4" s="134"/>
      <c r="G4" s="134"/>
    </row>
    <row r="5" spans="2:7" ht="11.25">
      <c r="B5" s="79" t="s">
        <v>144</v>
      </c>
      <c r="C5" s="80" t="str">
        <f>+C4</f>
        <v>Carretera "Y" de Baeza-Reventador-Lumbaquí</v>
      </c>
      <c r="D5" s="80"/>
      <c r="E5" s="80"/>
      <c r="F5" s="80"/>
      <c r="G5" s="80"/>
    </row>
    <row r="6" spans="2:7" ht="12.75" customHeight="1">
      <c r="B6" s="79" t="s">
        <v>145</v>
      </c>
      <c r="C6" s="135" t="s">
        <v>182</v>
      </c>
      <c r="D6" s="135"/>
      <c r="E6" s="135"/>
      <c r="F6" s="135"/>
      <c r="G6" s="135"/>
    </row>
    <row r="7" spans="2:7" ht="9" customHeight="1">
      <c r="B7" s="79" t="s">
        <v>147</v>
      </c>
      <c r="C7" s="81">
        <v>80</v>
      </c>
      <c r="D7" s="80" t="s">
        <v>148</v>
      </c>
      <c r="E7" s="82">
        <v>3</v>
      </c>
      <c r="F7" s="80"/>
      <c r="G7" s="83"/>
    </row>
    <row r="8" spans="2:7" ht="12" customHeight="1">
      <c r="B8" s="79"/>
      <c r="C8" s="80"/>
      <c r="D8" s="80" t="s">
        <v>149</v>
      </c>
      <c r="E8" s="80">
        <v>80</v>
      </c>
      <c r="F8" s="80"/>
      <c r="G8" s="83"/>
    </row>
    <row r="9" spans="2:7" ht="11.25">
      <c r="B9" s="79" t="s">
        <v>150</v>
      </c>
      <c r="C9" s="80" t="s">
        <v>151</v>
      </c>
      <c r="D9" s="80"/>
      <c r="E9" s="80"/>
      <c r="F9" s="80"/>
      <c r="G9" s="83"/>
    </row>
    <row r="10" spans="2:7" ht="11.25">
      <c r="B10" s="79" t="s">
        <v>152</v>
      </c>
      <c r="C10" s="84">
        <v>220771.5571</v>
      </c>
      <c r="D10" s="80"/>
      <c r="E10" s="80"/>
      <c r="F10" s="80"/>
      <c r="G10" s="83"/>
    </row>
    <row r="11" spans="2:7" ht="11.25">
      <c r="B11" s="79"/>
      <c r="C11" s="84">
        <v>9996972.6568</v>
      </c>
      <c r="D11" s="80"/>
      <c r="E11" s="80"/>
      <c r="F11" s="80"/>
      <c r="G11" s="83"/>
    </row>
    <row r="13" spans="2:4" ht="11.25">
      <c r="B13" s="131" t="s">
        <v>153</v>
      </c>
      <c r="C13" s="131"/>
      <c r="D13" s="131"/>
    </row>
    <row r="15" spans="1:7" ht="11.25">
      <c r="A15" s="85" t="s">
        <v>18</v>
      </c>
      <c r="B15" s="86" t="s">
        <v>154</v>
      </c>
      <c r="C15" s="87" t="s">
        <v>155</v>
      </c>
      <c r="D15" s="88" t="s">
        <v>21</v>
      </c>
      <c r="E15" s="88" t="s">
        <v>22</v>
      </c>
      <c r="F15" s="88" t="s">
        <v>156</v>
      </c>
      <c r="G15" s="88" t="s">
        <v>157</v>
      </c>
    </row>
    <row r="16" spans="1:7" ht="11.25">
      <c r="A16" s="89"/>
      <c r="B16" s="90"/>
      <c r="C16" s="91" t="str">
        <f>+C4</f>
        <v>Carretera "Y" de Baeza-Reventador-Lumbaquí</v>
      </c>
      <c r="D16" s="92"/>
      <c r="E16" s="93"/>
      <c r="F16" s="93"/>
      <c r="G16" s="93"/>
    </row>
    <row r="17" spans="1:7" ht="11.25">
      <c r="A17" s="89"/>
      <c r="B17" s="94"/>
      <c r="C17" s="91" t="str">
        <f>+C6</f>
        <v>Abscisa 87+000 - 87+080. </v>
      </c>
      <c r="D17" s="92"/>
      <c r="E17" s="93"/>
      <c r="F17" s="93"/>
      <c r="G17" s="93"/>
    </row>
    <row r="18" spans="1:7" ht="11.25">
      <c r="A18" s="89"/>
      <c r="B18" s="94"/>
      <c r="C18" s="91" t="s">
        <v>26</v>
      </c>
      <c r="D18" s="88"/>
      <c r="E18" s="93"/>
      <c r="F18" s="93"/>
      <c r="G18" s="93"/>
    </row>
    <row r="19" spans="1:7" ht="11.25">
      <c r="A19" s="98">
        <v>1</v>
      </c>
      <c r="B19" s="99" t="s">
        <v>159</v>
      </c>
      <c r="C19" s="100" t="s">
        <v>31</v>
      </c>
      <c r="D19" s="101" t="s">
        <v>32</v>
      </c>
      <c r="E19" s="102">
        <f>+('[1]DATOS'!F7*E7*C7)+(E7*E7*0.5*C7)</f>
        <v>1080</v>
      </c>
      <c r="F19" s="102"/>
      <c r="G19" s="102">
        <f>+E19*F19</f>
        <v>0</v>
      </c>
    </row>
    <row r="20" spans="1:7" ht="11.25">
      <c r="A20" s="98">
        <v>2</v>
      </c>
      <c r="B20" s="99" t="s">
        <v>33</v>
      </c>
      <c r="C20" s="100" t="s">
        <v>34</v>
      </c>
      <c r="D20" s="101" t="s">
        <v>35</v>
      </c>
      <c r="E20" s="102">
        <f>+E19*E8</f>
        <v>86400</v>
      </c>
      <c r="F20" s="102"/>
      <c r="G20" s="102">
        <f>+E20*F20</f>
        <v>0</v>
      </c>
    </row>
    <row r="21" spans="1:7" ht="11.25">
      <c r="A21" s="103"/>
      <c r="B21" s="99"/>
      <c r="C21" s="95" t="s">
        <v>183</v>
      </c>
      <c r="D21" s="96"/>
      <c r="E21" s="97"/>
      <c r="F21" s="97"/>
      <c r="G21" s="97"/>
    </row>
    <row r="22" spans="1:7" ht="11.25">
      <c r="A22" s="103">
        <v>3</v>
      </c>
      <c r="B22" s="99" t="s">
        <v>73</v>
      </c>
      <c r="C22" s="100" t="s">
        <v>74</v>
      </c>
      <c r="D22" s="101" t="s">
        <v>32</v>
      </c>
      <c r="E22" s="102">
        <v>75</v>
      </c>
      <c r="F22" s="102"/>
      <c r="G22" s="102">
        <f>+E22*F22</f>
        <v>0</v>
      </c>
    </row>
    <row r="23" spans="1:7" ht="11.25">
      <c r="A23" s="98">
        <v>4</v>
      </c>
      <c r="B23" s="99" t="s">
        <v>75</v>
      </c>
      <c r="C23" s="100" t="s">
        <v>76</v>
      </c>
      <c r="D23" s="101" t="s">
        <v>50</v>
      </c>
      <c r="E23" s="102">
        <f>8*C7</f>
        <v>640</v>
      </c>
      <c r="F23" s="102"/>
      <c r="G23" s="102">
        <f>+E23*F23</f>
        <v>0</v>
      </c>
    </row>
    <row r="24" spans="1:7" ht="11.25">
      <c r="A24" s="98">
        <v>5</v>
      </c>
      <c r="B24" s="99" t="s">
        <v>164</v>
      </c>
      <c r="C24" s="100" t="s">
        <v>78</v>
      </c>
      <c r="D24" s="101" t="s">
        <v>50</v>
      </c>
      <c r="E24" s="102">
        <f>C7*11</f>
        <v>880</v>
      </c>
      <c r="F24" s="102"/>
      <c r="G24" s="102">
        <f>+E24*F24</f>
        <v>0</v>
      </c>
    </row>
    <row r="25" spans="1:7" ht="11.25">
      <c r="A25" s="98">
        <v>6</v>
      </c>
      <c r="B25" s="99" t="s">
        <v>175</v>
      </c>
      <c r="C25" s="100" t="s">
        <v>176</v>
      </c>
      <c r="D25" s="101" t="s">
        <v>32</v>
      </c>
      <c r="E25" s="102">
        <f>0.3*C7</f>
        <v>24</v>
      </c>
      <c r="F25" s="102"/>
      <c r="G25" s="102">
        <f aca="true" t="shared" si="0" ref="G25:G38">+E25*F25</f>
        <v>0</v>
      </c>
    </row>
    <row r="26" spans="1:7" ht="22.5">
      <c r="A26" s="98">
        <f>1+A25</f>
        <v>7</v>
      </c>
      <c r="B26" s="99" t="s">
        <v>177</v>
      </c>
      <c r="C26" s="100" t="s">
        <v>178</v>
      </c>
      <c r="D26" s="101" t="s">
        <v>107</v>
      </c>
      <c r="E26" s="102">
        <f>+E25*E8</f>
        <v>1920</v>
      </c>
      <c r="F26" s="102"/>
      <c r="G26" s="102">
        <f t="shared" si="0"/>
        <v>0</v>
      </c>
    </row>
    <row r="27" spans="1:7" ht="11.25">
      <c r="A27" s="98">
        <f>1+A26</f>
        <v>8</v>
      </c>
      <c r="B27" s="99" t="s">
        <v>83</v>
      </c>
      <c r="C27" s="100" t="s">
        <v>179</v>
      </c>
      <c r="D27" s="101" t="s">
        <v>32</v>
      </c>
      <c r="E27" s="102">
        <f>+C7*0.2</f>
        <v>16</v>
      </c>
      <c r="F27" s="102"/>
      <c r="G27" s="102">
        <f t="shared" si="0"/>
        <v>0</v>
      </c>
    </row>
    <row r="28" spans="1:7" ht="22.5">
      <c r="A28" s="98">
        <f>1+A27</f>
        <v>9</v>
      </c>
      <c r="B28" s="99" t="s">
        <v>177</v>
      </c>
      <c r="C28" s="104" t="s">
        <v>180</v>
      </c>
      <c r="D28" s="101" t="s">
        <v>107</v>
      </c>
      <c r="E28" s="102">
        <f>+E27*E8</f>
        <v>1280</v>
      </c>
      <c r="F28" s="102"/>
      <c r="G28" s="102">
        <f t="shared" si="0"/>
        <v>0</v>
      </c>
    </row>
    <row r="29" spans="1:7" ht="11.25">
      <c r="A29" s="98"/>
      <c r="B29" s="99"/>
      <c r="C29" s="95" t="s">
        <v>37</v>
      </c>
      <c r="D29" s="101"/>
      <c r="E29" s="102"/>
      <c r="F29" s="102"/>
      <c r="G29" s="102"/>
    </row>
    <row r="30" spans="1:7" ht="11.25">
      <c r="A30" s="98">
        <v>10</v>
      </c>
      <c r="B30" s="99" t="s">
        <v>38</v>
      </c>
      <c r="C30" s="100" t="s">
        <v>39</v>
      </c>
      <c r="D30" s="101" t="s">
        <v>32</v>
      </c>
      <c r="E30" s="102">
        <f>C7*1*1</f>
        <v>80</v>
      </c>
      <c r="F30" s="102"/>
      <c r="G30" s="102">
        <f t="shared" si="0"/>
        <v>0</v>
      </c>
    </row>
    <row r="31" spans="1:7" ht="11.25">
      <c r="A31" s="98">
        <v>11</v>
      </c>
      <c r="B31" s="99" t="s">
        <v>40</v>
      </c>
      <c r="C31" s="100" t="s">
        <v>41</v>
      </c>
      <c r="D31" s="101" t="s">
        <v>32</v>
      </c>
      <c r="E31" s="102">
        <f>6*C7</f>
        <v>480</v>
      </c>
      <c r="F31" s="102"/>
      <c r="G31" s="102">
        <f t="shared" si="0"/>
        <v>0</v>
      </c>
    </row>
    <row r="32" spans="1:7" ht="11.25">
      <c r="A32" s="98">
        <v>12</v>
      </c>
      <c r="B32" s="99" t="s">
        <v>42</v>
      </c>
      <c r="C32" s="100" t="s">
        <v>43</v>
      </c>
      <c r="D32" s="101" t="s">
        <v>35</v>
      </c>
      <c r="E32" s="102">
        <f>E30*E8</f>
        <v>6400</v>
      </c>
      <c r="F32" s="102"/>
      <c r="G32" s="102">
        <f t="shared" si="0"/>
        <v>0</v>
      </c>
    </row>
    <row r="33" spans="1:7" ht="11.25">
      <c r="A33" s="98"/>
      <c r="B33" s="99"/>
      <c r="C33" s="95" t="s">
        <v>184</v>
      </c>
      <c r="D33" s="101"/>
      <c r="E33" s="102"/>
      <c r="F33" s="102"/>
      <c r="G33" s="102"/>
    </row>
    <row r="34" spans="1:7" ht="11.25">
      <c r="A34" s="98">
        <v>13</v>
      </c>
      <c r="B34" s="99" t="s">
        <v>62</v>
      </c>
      <c r="C34" s="100" t="s">
        <v>63</v>
      </c>
      <c r="D34" s="101" t="s">
        <v>32</v>
      </c>
      <c r="E34" s="102">
        <f>C7*2</f>
        <v>160</v>
      </c>
      <c r="F34" s="102"/>
      <c r="G34" s="102">
        <f t="shared" si="0"/>
        <v>0</v>
      </c>
    </row>
    <row r="35" spans="1:7" ht="22.5">
      <c r="A35" s="98">
        <v>14</v>
      </c>
      <c r="B35" s="99" t="s">
        <v>64</v>
      </c>
      <c r="C35" s="100" t="s">
        <v>185</v>
      </c>
      <c r="D35" s="101" t="s">
        <v>32</v>
      </c>
      <c r="E35" s="102">
        <v>80</v>
      </c>
      <c r="F35" s="102"/>
      <c r="G35" s="102">
        <f t="shared" si="0"/>
        <v>0</v>
      </c>
    </row>
    <row r="36" spans="1:7" ht="11.25">
      <c r="A36" s="98">
        <v>15</v>
      </c>
      <c r="B36" s="99" t="s">
        <v>91</v>
      </c>
      <c r="C36" s="100" t="s">
        <v>92</v>
      </c>
      <c r="D36" s="101" t="s">
        <v>32</v>
      </c>
      <c r="E36" s="102">
        <v>135</v>
      </c>
      <c r="F36" s="102"/>
      <c r="G36" s="102">
        <f t="shared" si="0"/>
        <v>0</v>
      </c>
    </row>
    <row r="37" spans="1:7" ht="11.25">
      <c r="A37" s="98">
        <v>16</v>
      </c>
      <c r="B37" s="99" t="s">
        <v>93</v>
      </c>
      <c r="C37" s="100" t="s">
        <v>94</v>
      </c>
      <c r="D37" s="101" t="s">
        <v>95</v>
      </c>
      <c r="E37" s="102">
        <f>E34</f>
        <v>160</v>
      </c>
      <c r="F37" s="102"/>
      <c r="G37" s="102">
        <f t="shared" si="0"/>
        <v>0</v>
      </c>
    </row>
    <row r="38" spans="1:7" ht="11.25">
      <c r="A38" s="98">
        <v>17</v>
      </c>
      <c r="B38" s="99" t="s">
        <v>77</v>
      </c>
      <c r="C38" s="100" t="s">
        <v>78</v>
      </c>
      <c r="D38" s="101" t="s">
        <v>50</v>
      </c>
      <c r="E38" s="102">
        <f>E34</f>
        <v>160</v>
      </c>
      <c r="F38" s="102"/>
      <c r="G38" s="102">
        <f t="shared" si="0"/>
        <v>0</v>
      </c>
    </row>
    <row r="39" spans="1:7" ht="11.25">
      <c r="A39" s="98"/>
      <c r="B39" s="90"/>
      <c r="C39" s="106"/>
      <c r="D39" s="107" t="s">
        <v>181</v>
      </c>
      <c r="E39" s="107"/>
      <c r="F39" s="107"/>
      <c r="G39" s="97">
        <f>+SUM(G16:G38)</f>
        <v>0</v>
      </c>
    </row>
    <row r="40" spans="1:7" ht="11.25">
      <c r="A40" s="98"/>
      <c r="C40" s="108"/>
      <c r="D40" s="108"/>
      <c r="E40" s="108"/>
      <c r="F40" s="108"/>
      <c r="G40" s="108"/>
    </row>
    <row r="41" spans="1:3" ht="11.25">
      <c r="A41" s="98"/>
      <c r="B41" s="109"/>
      <c r="C41" s="110"/>
    </row>
    <row r="42" ht="11.25">
      <c r="B42" s="110"/>
    </row>
  </sheetData>
  <sheetProtection/>
  <mergeCells count="6">
    <mergeCell ref="B1:G1"/>
    <mergeCell ref="B2:G2"/>
    <mergeCell ref="B3:G3"/>
    <mergeCell ref="C4:G4"/>
    <mergeCell ref="C6:G6"/>
    <mergeCell ref="B13:D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Marconi Patricio Valle Yanchaliquin</dc:creator>
  <cp:keywords/>
  <dc:description/>
  <cp:lastModifiedBy>Marconi Patricio Valle Yanchaliquin</cp:lastModifiedBy>
  <dcterms:created xsi:type="dcterms:W3CDTF">2020-09-01T23:14:28Z</dcterms:created>
  <dcterms:modified xsi:type="dcterms:W3CDTF">2020-09-01T23:16:43Z</dcterms:modified>
  <cp:category/>
  <cp:version/>
  <cp:contentType/>
  <cp:contentStatus/>
</cp:coreProperties>
</file>